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5915" windowHeight="7815" activeTab="2"/>
  </bookViews>
  <sheets>
    <sheet name="Sheet1" sheetId="1" r:id="rId1"/>
    <sheet name="dinam de germinacion" sheetId="2" r:id="rId2"/>
    <sheet name="velocidad de germinacion" sheetId="4" r:id="rId3"/>
    <sheet name="tiempo med y tasade germinacion" sheetId="5" r:id="rId4"/>
    <sheet name="indice de vigor" sheetId="6" r:id="rId5"/>
  </sheets>
  <calcPr calcId="124519"/>
</workbook>
</file>

<file path=xl/calcChain.xml><?xml version="1.0" encoding="utf-8"?>
<calcChain xmlns="http://schemas.openxmlformats.org/spreadsheetml/2006/main">
  <c r="N82" i="4"/>
  <c r="N78"/>
  <c r="N79"/>
  <c r="N80"/>
  <c r="N81"/>
  <c r="N69"/>
  <c r="N65"/>
  <c r="N66"/>
  <c r="N67"/>
  <c r="N68"/>
  <c r="N64"/>
  <c r="N56"/>
  <c r="N55"/>
  <c r="N54"/>
  <c r="N53"/>
  <c r="N51"/>
  <c r="N52"/>
  <c r="N48"/>
  <c r="N47"/>
  <c r="N49"/>
  <c r="N50"/>
  <c r="N42"/>
  <c r="N41"/>
  <c r="N40"/>
  <c r="N39"/>
  <c r="N38"/>
  <c r="N37"/>
  <c r="N35"/>
  <c r="N36"/>
  <c r="N34"/>
  <c r="N33"/>
  <c r="N26"/>
  <c r="N27"/>
  <c r="N25"/>
  <c r="N24"/>
  <c r="N23"/>
  <c r="N22"/>
  <c r="N21"/>
  <c r="N20"/>
  <c r="N18"/>
  <c r="Q16" i="6"/>
  <c r="X16" s="1"/>
  <c r="P16"/>
  <c r="W16" s="1"/>
  <c r="O16"/>
  <c r="V16" s="1"/>
  <c r="M16"/>
  <c r="T16" s="1"/>
  <c r="X15"/>
  <c r="V15"/>
  <c r="T15"/>
  <c r="Q15"/>
  <c r="P15"/>
  <c r="W15" s="1"/>
  <c r="O15"/>
  <c r="N15"/>
  <c r="U15" s="1"/>
  <c r="M15"/>
  <c r="X14"/>
  <c r="V14"/>
  <c r="T14"/>
  <c r="Q14"/>
  <c r="P14"/>
  <c r="W14" s="1"/>
  <c r="O14"/>
  <c r="N14"/>
  <c r="U14" s="1"/>
  <c r="M14"/>
  <c r="X13"/>
  <c r="V13"/>
  <c r="T13"/>
  <c r="Q13"/>
  <c r="P13"/>
  <c r="W13" s="1"/>
  <c r="O13"/>
  <c r="N13"/>
  <c r="U13" s="1"/>
  <c r="M13"/>
  <c r="X12"/>
  <c r="V12"/>
  <c r="T12"/>
  <c r="Q12"/>
  <c r="P12"/>
  <c r="W12" s="1"/>
  <c r="O12"/>
  <c r="N12"/>
  <c r="U12" s="1"/>
  <c r="M12"/>
  <c r="X11"/>
  <c r="X18" s="1"/>
  <c r="X19" s="1"/>
  <c r="V11"/>
  <c r="V18" s="1"/>
  <c r="V19" s="1"/>
  <c r="T11"/>
  <c r="T18" s="1"/>
  <c r="T19" s="1"/>
  <c r="Q11"/>
  <c r="Q18" s="1"/>
  <c r="Q19" s="1"/>
  <c r="P11"/>
  <c r="W11" s="1"/>
  <c r="O11"/>
  <c r="O18" s="1"/>
  <c r="O19" s="1"/>
  <c r="N11"/>
  <c r="U11" s="1"/>
  <c r="M11"/>
  <c r="M18" s="1"/>
  <c r="M19" s="1"/>
  <c r="G139" i="5"/>
  <c r="E139"/>
  <c r="C139"/>
  <c r="G138"/>
  <c r="F138"/>
  <c r="F139" s="1"/>
  <c r="E138"/>
  <c r="D138"/>
  <c r="D139" s="1"/>
  <c r="C138"/>
  <c r="G137"/>
  <c r="F137"/>
  <c r="E137"/>
  <c r="D137"/>
  <c r="C137"/>
  <c r="G127"/>
  <c r="F127"/>
  <c r="E127"/>
  <c r="D127"/>
  <c r="C127"/>
  <c r="G117"/>
  <c r="F117"/>
  <c r="E117"/>
  <c r="D117"/>
  <c r="C117"/>
  <c r="G104"/>
  <c r="F104"/>
  <c r="E104"/>
  <c r="D104"/>
  <c r="C104"/>
  <c r="G95"/>
  <c r="E95"/>
  <c r="C95"/>
  <c r="G94"/>
  <c r="F94"/>
  <c r="F95" s="1"/>
  <c r="E94"/>
  <c r="D94"/>
  <c r="D95" s="1"/>
  <c r="C94"/>
  <c r="G93"/>
  <c r="F93"/>
  <c r="E93"/>
  <c r="D93"/>
  <c r="C93"/>
  <c r="G82"/>
  <c r="F82"/>
  <c r="E82"/>
  <c r="D82"/>
  <c r="C82"/>
  <c r="G71"/>
  <c r="F71"/>
  <c r="E71"/>
  <c r="D71"/>
  <c r="C71"/>
  <c r="U69"/>
  <c r="T69"/>
  <c r="S69"/>
  <c r="R69"/>
  <c r="Q69"/>
  <c r="P69"/>
  <c r="O69"/>
  <c r="N69"/>
  <c r="M69"/>
  <c r="L69"/>
  <c r="K69"/>
  <c r="V69" s="1"/>
  <c r="W69" s="1"/>
  <c r="X69" s="1"/>
  <c r="U68"/>
  <c r="T68"/>
  <c r="S68"/>
  <c r="R68"/>
  <c r="Q68"/>
  <c r="P68"/>
  <c r="O68"/>
  <c r="N68"/>
  <c r="M68"/>
  <c r="L68"/>
  <c r="K68"/>
  <c r="V68" s="1"/>
  <c r="W68" s="1"/>
  <c r="X68" s="1"/>
  <c r="U67"/>
  <c r="T67"/>
  <c r="S67"/>
  <c r="R67"/>
  <c r="Q67"/>
  <c r="P67"/>
  <c r="O67"/>
  <c r="N67"/>
  <c r="M67"/>
  <c r="L67"/>
  <c r="K67"/>
  <c r="V67" s="1"/>
  <c r="W67" s="1"/>
  <c r="X67" s="1"/>
  <c r="U66"/>
  <c r="T66"/>
  <c r="S66"/>
  <c r="R66"/>
  <c r="Q66"/>
  <c r="P66"/>
  <c r="O66"/>
  <c r="N66"/>
  <c r="M66"/>
  <c r="L66"/>
  <c r="K66"/>
  <c r="V66" s="1"/>
  <c r="W66" s="1"/>
  <c r="X66" s="1"/>
  <c r="U65"/>
  <c r="T65"/>
  <c r="S65"/>
  <c r="R65"/>
  <c r="Q65"/>
  <c r="P65"/>
  <c r="O65"/>
  <c r="N65"/>
  <c r="M65"/>
  <c r="L65"/>
  <c r="K65"/>
  <c r="V65" s="1"/>
  <c r="W65" s="1"/>
  <c r="X65" s="1"/>
  <c r="U64"/>
  <c r="T64"/>
  <c r="S64"/>
  <c r="R64"/>
  <c r="Q64"/>
  <c r="P64"/>
  <c r="O64"/>
  <c r="N64"/>
  <c r="M64"/>
  <c r="L64"/>
  <c r="K64"/>
  <c r="V64" s="1"/>
  <c r="W64" s="1"/>
  <c r="G60"/>
  <c r="F60"/>
  <c r="E60"/>
  <c r="D60"/>
  <c r="C60"/>
  <c r="U58"/>
  <c r="T58"/>
  <c r="S58"/>
  <c r="R58"/>
  <c r="Q58"/>
  <c r="P58"/>
  <c r="O58"/>
  <c r="N58"/>
  <c r="M58"/>
  <c r="L58"/>
  <c r="V58" s="1"/>
  <c r="W58" s="1"/>
  <c r="X58" s="1"/>
  <c r="K58"/>
  <c r="U57"/>
  <c r="T57"/>
  <c r="S57"/>
  <c r="R57"/>
  <c r="Q57"/>
  <c r="P57"/>
  <c r="O57"/>
  <c r="N57"/>
  <c r="M57"/>
  <c r="L57"/>
  <c r="V57" s="1"/>
  <c r="W57" s="1"/>
  <c r="X57" s="1"/>
  <c r="K57"/>
  <c r="U56"/>
  <c r="T56"/>
  <c r="S56"/>
  <c r="R56"/>
  <c r="Q56"/>
  <c r="P56"/>
  <c r="O56"/>
  <c r="N56"/>
  <c r="M56"/>
  <c r="L56"/>
  <c r="V56" s="1"/>
  <c r="W56" s="1"/>
  <c r="X56" s="1"/>
  <c r="K56"/>
  <c r="U55"/>
  <c r="T55"/>
  <c r="S55"/>
  <c r="R55"/>
  <c r="Q55"/>
  <c r="P55"/>
  <c r="O55"/>
  <c r="N55"/>
  <c r="M55"/>
  <c r="L55"/>
  <c r="V55" s="1"/>
  <c r="W55" s="1"/>
  <c r="X55" s="1"/>
  <c r="K55"/>
  <c r="U54"/>
  <c r="T54"/>
  <c r="S54"/>
  <c r="R54"/>
  <c r="Q54"/>
  <c r="P54"/>
  <c r="O54"/>
  <c r="N54"/>
  <c r="M54"/>
  <c r="L54"/>
  <c r="V54" s="1"/>
  <c r="W54" s="1"/>
  <c r="X54" s="1"/>
  <c r="K54"/>
  <c r="U53"/>
  <c r="T53"/>
  <c r="S53"/>
  <c r="R53"/>
  <c r="Q53"/>
  <c r="P53"/>
  <c r="O53"/>
  <c r="N53"/>
  <c r="M53"/>
  <c r="L53"/>
  <c r="V53" s="1"/>
  <c r="W53" s="1"/>
  <c r="K53"/>
  <c r="G49"/>
  <c r="E49"/>
  <c r="C49"/>
  <c r="G48"/>
  <c r="F48"/>
  <c r="F49" s="1"/>
  <c r="E48"/>
  <c r="D48"/>
  <c r="D49" s="1"/>
  <c r="C48"/>
  <c r="G47"/>
  <c r="F47"/>
  <c r="E47"/>
  <c r="D47"/>
  <c r="C47"/>
  <c r="U46"/>
  <c r="T46"/>
  <c r="S46"/>
  <c r="R46"/>
  <c r="Q46"/>
  <c r="P46"/>
  <c r="O46"/>
  <c r="N46"/>
  <c r="M46"/>
  <c r="L46"/>
  <c r="K46"/>
  <c r="V46" s="1"/>
  <c r="W46" s="1"/>
  <c r="X46" s="1"/>
  <c r="U45"/>
  <c r="T45"/>
  <c r="S45"/>
  <c r="R45"/>
  <c r="Q45"/>
  <c r="P45"/>
  <c r="O45"/>
  <c r="N45"/>
  <c r="M45"/>
  <c r="L45"/>
  <c r="K45"/>
  <c r="V45" s="1"/>
  <c r="W45" s="1"/>
  <c r="X45" s="1"/>
  <c r="U44"/>
  <c r="T44"/>
  <c r="S44"/>
  <c r="R44"/>
  <c r="Q44"/>
  <c r="P44"/>
  <c r="O44"/>
  <c r="N44"/>
  <c r="M44"/>
  <c r="L44"/>
  <c r="K44"/>
  <c r="V44" s="1"/>
  <c r="W44" s="1"/>
  <c r="X44" s="1"/>
  <c r="U43"/>
  <c r="T43"/>
  <c r="S43"/>
  <c r="R43"/>
  <c r="Q43"/>
  <c r="P43"/>
  <c r="O43"/>
  <c r="N43"/>
  <c r="M43"/>
  <c r="L43"/>
  <c r="K43"/>
  <c r="V43" s="1"/>
  <c r="W43" s="1"/>
  <c r="X43" s="1"/>
  <c r="U42"/>
  <c r="T42"/>
  <c r="S42"/>
  <c r="R42"/>
  <c r="Q42"/>
  <c r="P42"/>
  <c r="O42"/>
  <c r="N42"/>
  <c r="M42"/>
  <c r="L42"/>
  <c r="K42"/>
  <c r="V42" s="1"/>
  <c r="W42" s="1"/>
  <c r="X42" s="1"/>
  <c r="U41"/>
  <c r="T41"/>
  <c r="S41"/>
  <c r="R41"/>
  <c r="Q41"/>
  <c r="P41"/>
  <c r="O41"/>
  <c r="N41"/>
  <c r="M41"/>
  <c r="L41"/>
  <c r="K41"/>
  <c r="V41" s="1"/>
  <c r="W41" s="1"/>
  <c r="F37"/>
  <c r="D37"/>
  <c r="G36"/>
  <c r="G37" s="1"/>
  <c r="F36"/>
  <c r="E36"/>
  <c r="E37" s="1"/>
  <c r="D36"/>
  <c r="C36"/>
  <c r="C37" s="1"/>
  <c r="G35"/>
  <c r="F35"/>
  <c r="E35"/>
  <c r="D35"/>
  <c r="C35"/>
  <c r="U34"/>
  <c r="T34"/>
  <c r="S34"/>
  <c r="R34"/>
  <c r="Q34"/>
  <c r="P34"/>
  <c r="O34"/>
  <c r="N34"/>
  <c r="M34"/>
  <c r="L34"/>
  <c r="V34" s="1"/>
  <c r="W34" s="1"/>
  <c r="X34" s="1"/>
  <c r="K34"/>
  <c r="U33"/>
  <c r="T33"/>
  <c r="S33"/>
  <c r="R33"/>
  <c r="Q33"/>
  <c r="P33"/>
  <c r="O33"/>
  <c r="N33"/>
  <c r="M33"/>
  <c r="L33"/>
  <c r="V33" s="1"/>
  <c r="W33" s="1"/>
  <c r="X33" s="1"/>
  <c r="K33"/>
  <c r="U32"/>
  <c r="T32"/>
  <c r="S32"/>
  <c r="R32"/>
  <c r="Q32"/>
  <c r="P32"/>
  <c r="O32"/>
  <c r="N32"/>
  <c r="M32"/>
  <c r="L32"/>
  <c r="V32" s="1"/>
  <c r="W32" s="1"/>
  <c r="X32" s="1"/>
  <c r="K32"/>
  <c r="U31"/>
  <c r="T31"/>
  <c r="S31"/>
  <c r="R31"/>
  <c r="Q31"/>
  <c r="P31"/>
  <c r="O31"/>
  <c r="N31"/>
  <c r="M31"/>
  <c r="L31"/>
  <c r="V31" s="1"/>
  <c r="W31" s="1"/>
  <c r="X31" s="1"/>
  <c r="K31"/>
  <c r="U30"/>
  <c r="T30"/>
  <c r="S30"/>
  <c r="R30"/>
  <c r="Q30"/>
  <c r="P30"/>
  <c r="O30"/>
  <c r="N30"/>
  <c r="M30"/>
  <c r="L30"/>
  <c r="V30" s="1"/>
  <c r="W30" s="1"/>
  <c r="X30" s="1"/>
  <c r="K30"/>
  <c r="U29"/>
  <c r="T29"/>
  <c r="S29"/>
  <c r="R29"/>
  <c r="Q29"/>
  <c r="P29"/>
  <c r="O29"/>
  <c r="N29"/>
  <c r="M29"/>
  <c r="L29"/>
  <c r="V29" s="1"/>
  <c r="W29" s="1"/>
  <c r="K29"/>
  <c r="G24"/>
  <c r="E24"/>
  <c r="C24"/>
  <c r="G23"/>
  <c r="F23"/>
  <c r="F24" s="1"/>
  <c r="E23"/>
  <c r="D23"/>
  <c r="D24" s="1"/>
  <c r="C23"/>
  <c r="G22"/>
  <c r="F22"/>
  <c r="E22"/>
  <c r="D22"/>
  <c r="C22"/>
  <c r="U21"/>
  <c r="T21"/>
  <c r="S21"/>
  <c r="R21"/>
  <c r="Q21"/>
  <c r="P21"/>
  <c r="O21"/>
  <c r="N21"/>
  <c r="M21"/>
  <c r="L21"/>
  <c r="K21"/>
  <c r="V21" s="1"/>
  <c r="W21" s="1"/>
  <c r="X21" s="1"/>
  <c r="U20"/>
  <c r="T20"/>
  <c r="S20"/>
  <c r="R20"/>
  <c r="Q20"/>
  <c r="P20"/>
  <c r="O20"/>
  <c r="N20"/>
  <c r="M20"/>
  <c r="L20"/>
  <c r="K20"/>
  <c r="V20" s="1"/>
  <c r="W20" s="1"/>
  <c r="X20" s="1"/>
  <c r="U19"/>
  <c r="T19"/>
  <c r="S19"/>
  <c r="R19"/>
  <c r="Q19"/>
  <c r="P19"/>
  <c r="O19"/>
  <c r="N19"/>
  <c r="M19"/>
  <c r="L19"/>
  <c r="K19"/>
  <c r="V19" s="1"/>
  <c r="W19" s="1"/>
  <c r="X19" s="1"/>
  <c r="U18"/>
  <c r="T18"/>
  <c r="S18"/>
  <c r="R18"/>
  <c r="Q18"/>
  <c r="P18"/>
  <c r="O18"/>
  <c r="N18"/>
  <c r="M18"/>
  <c r="L18"/>
  <c r="K18"/>
  <c r="V18" s="1"/>
  <c r="W18" s="1"/>
  <c r="X18" s="1"/>
  <c r="U17"/>
  <c r="T17"/>
  <c r="S17"/>
  <c r="R17"/>
  <c r="Q17"/>
  <c r="P17"/>
  <c r="O17"/>
  <c r="N17"/>
  <c r="M17"/>
  <c r="L17"/>
  <c r="K17"/>
  <c r="V17" s="1"/>
  <c r="W17" s="1"/>
  <c r="X17" s="1"/>
  <c r="U16"/>
  <c r="T16"/>
  <c r="S16"/>
  <c r="R16"/>
  <c r="Q16"/>
  <c r="P16"/>
  <c r="O16"/>
  <c r="N16"/>
  <c r="M16"/>
  <c r="L16"/>
  <c r="K16"/>
  <c r="V16" s="1"/>
  <c r="W16" s="1"/>
  <c r="O18" i="4"/>
  <c r="P18"/>
  <c r="Q18"/>
  <c r="R18"/>
  <c r="S18"/>
  <c r="T18"/>
  <c r="U18"/>
  <c r="V18"/>
  <c r="W18"/>
  <c r="X18"/>
  <c r="N19"/>
  <c r="O19"/>
  <c r="P19"/>
  <c r="Q19"/>
  <c r="R19"/>
  <c r="S19"/>
  <c r="T19"/>
  <c r="U19"/>
  <c r="V19"/>
  <c r="W19"/>
  <c r="X19"/>
  <c r="O20"/>
  <c r="P20"/>
  <c r="Q20"/>
  <c r="R20"/>
  <c r="S20"/>
  <c r="T20"/>
  <c r="U20"/>
  <c r="V20"/>
  <c r="W20"/>
  <c r="X20"/>
  <c r="O21"/>
  <c r="P21"/>
  <c r="Q21"/>
  <c r="R21"/>
  <c r="S21"/>
  <c r="T21"/>
  <c r="U21"/>
  <c r="V21"/>
  <c r="W21"/>
  <c r="X21"/>
  <c r="O22"/>
  <c r="P22"/>
  <c r="Q22"/>
  <c r="R22"/>
  <c r="S22"/>
  <c r="T22"/>
  <c r="U22"/>
  <c r="V22"/>
  <c r="W22"/>
  <c r="X22"/>
  <c r="Y22" s="1"/>
  <c r="O23"/>
  <c r="P23"/>
  <c r="Q23"/>
  <c r="R23"/>
  <c r="S23"/>
  <c r="T23"/>
  <c r="U23"/>
  <c r="V23"/>
  <c r="W23"/>
  <c r="X23"/>
  <c r="O33"/>
  <c r="P33"/>
  <c r="Q33"/>
  <c r="R33"/>
  <c r="S33"/>
  <c r="T33"/>
  <c r="U33"/>
  <c r="V33"/>
  <c r="W33"/>
  <c r="X33"/>
  <c r="O34"/>
  <c r="P34"/>
  <c r="Q34"/>
  <c r="R34"/>
  <c r="S34"/>
  <c r="T34"/>
  <c r="U34"/>
  <c r="V34"/>
  <c r="W34"/>
  <c r="X34"/>
  <c r="O35"/>
  <c r="P35"/>
  <c r="Q35"/>
  <c r="R35"/>
  <c r="S35"/>
  <c r="T35"/>
  <c r="U35"/>
  <c r="V35"/>
  <c r="W35"/>
  <c r="X35"/>
  <c r="O36"/>
  <c r="P36"/>
  <c r="Q36"/>
  <c r="R36"/>
  <c r="S36"/>
  <c r="T36"/>
  <c r="U36"/>
  <c r="V36"/>
  <c r="W36"/>
  <c r="X36"/>
  <c r="O37"/>
  <c r="P37"/>
  <c r="Q37"/>
  <c r="R37"/>
  <c r="S37"/>
  <c r="T37"/>
  <c r="U37"/>
  <c r="V37"/>
  <c r="W37"/>
  <c r="X37"/>
  <c r="O38"/>
  <c r="P38"/>
  <c r="Q38"/>
  <c r="R38"/>
  <c r="S38"/>
  <c r="T38"/>
  <c r="U38"/>
  <c r="V38"/>
  <c r="W38"/>
  <c r="X38"/>
  <c r="O47"/>
  <c r="P47"/>
  <c r="Q47"/>
  <c r="R47"/>
  <c r="S47"/>
  <c r="T47"/>
  <c r="U47"/>
  <c r="V47"/>
  <c r="W47"/>
  <c r="X47"/>
  <c r="O48"/>
  <c r="P48"/>
  <c r="Q48"/>
  <c r="R48"/>
  <c r="S48"/>
  <c r="T48"/>
  <c r="U48"/>
  <c r="V48"/>
  <c r="W48"/>
  <c r="X48"/>
  <c r="O49"/>
  <c r="P49"/>
  <c r="Q49"/>
  <c r="R49"/>
  <c r="S49"/>
  <c r="T49"/>
  <c r="U49"/>
  <c r="V49"/>
  <c r="W49"/>
  <c r="X49"/>
  <c r="O50"/>
  <c r="P50"/>
  <c r="Q50"/>
  <c r="R50"/>
  <c r="S50"/>
  <c r="T50"/>
  <c r="U50"/>
  <c r="V50"/>
  <c r="W50"/>
  <c r="X50"/>
  <c r="O51"/>
  <c r="P51"/>
  <c r="Q51"/>
  <c r="R51"/>
  <c r="S51"/>
  <c r="T51"/>
  <c r="U51"/>
  <c r="V51"/>
  <c r="W51"/>
  <c r="X51"/>
  <c r="O52"/>
  <c r="P52"/>
  <c r="Q52"/>
  <c r="R52"/>
  <c r="S52"/>
  <c r="T52"/>
  <c r="U52"/>
  <c r="V52"/>
  <c r="W52"/>
  <c r="X52"/>
  <c r="N60"/>
  <c r="O60"/>
  <c r="P60"/>
  <c r="Q60"/>
  <c r="R60"/>
  <c r="S60"/>
  <c r="T60"/>
  <c r="U60"/>
  <c r="V60"/>
  <c r="W60"/>
  <c r="X60"/>
  <c r="N61"/>
  <c r="O61"/>
  <c r="P61"/>
  <c r="Q61"/>
  <c r="R61"/>
  <c r="S61"/>
  <c r="T61"/>
  <c r="U61"/>
  <c r="V61"/>
  <c r="W61"/>
  <c r="X61"/>
  <c r="N62"/>
  <c r="O62"/>
  <c r="P62"/>
  <c r="Q62"/>
  <c r="R62"/>
  <c r="S62"/>
  <c r="T62"/>
  <c r="U62"/>
  <c r="V62"/>
  <c r="W62"/>
  <c r="X62"/>
  <c r="N63"/>
  <c r="O63"/>
  <c r="P63"/>
  <c r="Q63"/>
  <c r="R63"/>
  <c r="S63"/>
  <c r="T63"/>
  <c r="U63"/>
  <c r="V63"/>
  <c r="W63"/>
  <c r="X63"/>
  <c r="O64"/>
  <c r="P64"/>
  <c r="Q64"/>
  <c r="R64"/>
  <c r="S64"/>
  <c r="T64"/>
  <c r="U64"/>
  <c r="V64"/>
  <c r="W64"/>
  <c r="X64"/>
  <c r="O65"/>
  <c r="P65"/>
  <c r="Q65"/>
  <c r="R65"/>
  <c r="S65"/>
  <c r="T65"/>
  <c r="U65"/>
  <c r="V65"/>
  <c r="W65"/>
  <c r="X65"/>
  <c r="N73"/>
  <c r="O73"/>
  <c r="P73"/>
  <c r="Q73"/>
  <c r="R73"/>
  <c r="S73"/>
  <c r="T73"/>
  <c r="U73"/>
  <c r="V73"/>
  <c r="W73"/>
  <c r="X73"/>
  <c r="N74"/>
  <c r="O74"/>
  <c r="P74"/>
  <c r="Q74"/>
  <c r="R74"/>
  <c r="S74"/>
  <c r="T74"/>
  <c r="U74"/>
  <c r="V74"/>
  <c r="W74"/>
  <c r="X74"/>
  <c r="N75"/>
  <c r="O75"/>
  <c r="P75"/>
  <c r="Q75"/>
  <c r="R75"/>
  <c r="S75"/>
  <c r="T75"/>
  <c r="U75"/>
  <c r="V75"/>
  <c r="W75"/>
  <c r="X75"/>
  <c r="N76"/>
  <c r="O76"/>
  <c r="P76"/>
  <c r="Q76"/>
  <c r="R76"/>
  <c r="S76"/>
  <c r="T76"/>
  <c r="U76"/>
  <c r="V76"/>
  <c r="W76"/>
  <c r="X76"/>
  <c r="N77"/>
  <c r="O77"/>
  <c r="P77"/>
  <c r="Q77"/>
  <c r="R77"/>
  <c r="S77"/>
  <c r="T77"/>
  <c r="U77"/>
  <c r="V77"/>
  <c r="W77"/>
  <c r="X77"/>
  <c r="O78"/>
  <c r="P78"/>
  <c r="Q78"/>
  <c r="R78"/>
  <c r="S78"/>
  <c r="T78"/>
  <c r="U78"/>
  <c r="V78"/>
  <c r="W78"/>
  <c r="X78"/>
  <c r="C91"/>
  <c r="D91"/>
  <c r="E91"/>
  <c r="F91"/>
  <c r="G91"/>
  <c r="C102"/>
  <c r="D102"/>
  <c r="E102"/>
  <c r="F102"/>
  <c r="G102"/>
  <c r="C103"/>
  <c r="C104" s="1"/>
  <c r="D103"/>
  <c r="E103"/>
  <c r="E104" s="1"/>
  <c r="F103"/>
  <c r="G103"/>
  <c r="G104" s="1"/>
  <c r="D104"/>
  <c r="F104"/>
  <c r="C113"/>
  <c r="D113"/>
  <c r="E113"/>
  <c r="F113"/>
  <c r="G113"/>
  <c r="C126"/>
  <c r="D126"/>
  <c r="E126"/>
  <c r="F126"/>
  <c r="G126"/>
  <c r="C136"/>
  <c r="D136"/>
  <c r="E136"/>
  <c r="F136"/>
  <c r="G136"/>
  <c r="C146"/>
  <c r="D146"/>
  <c r="E146"/>
  <c r="F146"/>
  <c r="G146"/>
  <c r="C147"/>
  <c r="C148" s="1"/>
  <c r="D147"/>
  <c r="E147"/>
  <c r="E148" s="1"/>
  <c r="F147"/>
  <c r="G147"/>
  <c r="G148" s="1"/>
  <c r="D148"/>
  <c r="F148"/>
  <c r="Y78" l="1"/>
  <c r="Y76"/>
  <c r="Y74"/>
  <c r="Y64"/>
  <c r="Y62"/>
  <c r="Y60"/>
  <c r="Y50"/>
  <c r="Y48"/>
  <c r="Y37"/>
  <c r="Y35"/>
  <c r="Y33"/>
  <c r="Y52"/>
  <c r="Y65"/>
  <c r="Y38"/>
  <c r="Y23"/>
  <c r="Y21"/>
  <c r="Y19"/>
  <c r="Y77"/>
  <c r="Y75"/>
  <c r="Y73"/>
  <c r="Y63"/>
  <c r="Y61"/>
  <c r="Y51"/>
  <c r="Y49"/>
  <c r="Y47"/>
  <c r="Y36"/>
  <c r="Y34"/>
  <c r="Y20"/>
  <c r="Y18"/>
  <c r="U18" i="6"/>
  <c r="U19" s="1"/>
  <c r="U17"/>
  <c r="W18"/>
  <c r="W19" s="1"/>
  <c r="W17"/>
  <c r="N17"/>
  <c r="P17"/>
  <c r="T17"/>
  <c r="V17"/>
  <c r="X17"/>
  <c r="N18"/>
  <c r="N19" s="1"/>
  <c r="P18"/>
  <c r="P19" s="1"/>
  <c r="M17"/>
  <c r="O17"/>
  <c r="Q17"/>
  <c r="W47" i="5"/>
  <c r="X41"/>
  <c r="W48"/>
  <c r="W49" s="1"/>
  <c r="W59"/>
  <c r="W60"/>
  <c r="W61" s="1"/>
  <c r="X53"/>
  <c r="W71"/>
  <c r="W72" s="1"/>
  <c r="X64"/>
  <c r="W70"/>
  <c r="W22"/>
  <c r="X16"/>
  <c r="W23"/>
  <c r="W24" s="1"/>
  <c r="W36"/>
  <c r="W37" s="1"/>
  <c r="W35"/>
  <c r="X29"/>
  <c r="Y79" i="4" l="1"/>
  <c r="Y25"/>
  <c r="Y26" s="1"/>
  <c r="Y54"/>
  <c r="Y55" s="1"/>
  <c r="Y40"/>
  <c r="Y41" s="1"/>
  <c r="Y39"/>
  <c r="Y67"/>
  <c r="Y68" s="1"/>
  <c r="Y80"/>
  <c r="Y81" s="1"/>
  <c r="Y24"/>
  <c r="Y66"/>
  <c r="Y53"/>
  <c r="X23" i="5"/>
  <c r="X24" s="1"/>
  <c r="X22"/>
  <c r="X35"/>
  <c r="X36"/>
  <c r="X37" s="1"/>
  <c r="X70"/>
  <c r="X71"/>
  <c r="X72" s="1"/>
  <c r="X60"/>
  <c r="X61" s="1"/>
  <c r="X59"/>
  <c r="X48"/>
  <c r="X49" s="1"/>
  <c r="X47"/>
  <c r="J110" i="2" l="1"/>
  <c r="I110"/>
  <c r="H110"/>
  <c r="G110"/>
  <c r="F110"/>
  <c r="E110"/>
  <c r="D110"/>
  <c r="C110"/>
  <c r="B110"/>
  <c r="J109"/>
  <c r="I109"/>
  <c r="H109"/>
  <c r="G109"/>
  <c r="F109"/>
  <c r="E109"/>
  <c r="D109"/>
  <c r="C109"/>
  <c r="B109"/>
  <c r="J108"/>
  <c r="I108"/>
  <c r="H108"/>
  <c r="G108"/>
  <c r="F108"/>
  <c r="E108"/>
  <c r="D108"/>
  <c r="C108"/>
  <c r="B108"/>
  <c r="J83"/>
  <c r="I83"/>
  <c r="H83"/>
  <c r="G83"/>
  <c r="F83"/>
  <c r="E83"/>
  <c r="D83"/>
  <c r="C83"/>
  <c r="B83"/>
  <c r="J82"/>
  <c r="I82"/>
  <c r="H82"/>
  <c r="G82"/>
  <c r="F82"/>
  <c r="E82"/>
  <c r="D82"/>
  <c r="C82"/>
  <c r="B82"/>
  <c r="J81"/>
  <c r="I81"/>
  <c r="H81"/>
  <c r="G81"/>
  <c r="F81"/>
  <c r="E81"/>
  <c r="D81"/>
  <c r="C81"/>
  <c r="B81"/>
  <c r="J67"/>
  <c r="I67"/>
  <c r="H67"/>
  <c r="G67"/>
  <c r="F67"/>
  <c r="E67"/>
  <c r="D67"/>
  <c r="C67"/>
  <c r="B67"/>
  <c r="J66"/>
  <c r="I66"/>
  <c r="H66"/>
  <c r="G66"/>
  <c r="F66"/>
  <c r="E66"/>
  <c r="D66"/>
  <c r="C66"/>
  <c r="B66"/>
  <c r="J65"/>
  <c r="I65"/>
  <c r="H65"/>
  <c r="G65"/>
  <c r="F65"/>
  <c r="E65"/>
  <c r="D65"/>
  <c r="C65"/>
  <c r="B65"/>
  <c r="J51"/>
  <c r="I51"/>
  <c r="H51"/>
  <c r="G51"/>
  <c r="F51"/>
  <c r="E51"/>
  <c r="D51"/>
  <c r="C51"/>
  <c r="B51"/>
  <c r="J50"/>
  <c r="I50"/>
  <c r="H50"/>
  <c r="G50"/>
  <c r="F50"/>
  <c r="E50"/>
  <c r="D50"/>
  <c r="C50"/>
  <c r="B50"/>
  <c r="J49"/>
  <c r="I49"/>
  <c r="H49"/>
  <c r="G49"/>
  <c r="F49"/>
  <c r="E49"/>
  <c r="D49"/>
  <c r="C49"/>
  <c r="B49"/>
  <c r="J35"/>
  <c r="I35"/>
  <c r="H35"/>
  <c r="G35"/>
  <c r="F35"/>
  <c r="E35"/>
  <c r="D35"/>
  <c r="C35"/>
  <c r="B35"/>
  <c r="J34"/>
  <c r="I34"/>
  <c r="H34"/>
  <c r="G34"/>
  <c r="F34"/>
  <c r="E34"/>
  <c r="D34"/>
  <c r="C34"/>
  <c r="B34"/>
  <c r="J33"/>
  <c r="I33"/>
  <c r="H33"/>
  <c r="G33"/>
  <c r="F33"/>
  <c r="E33"/>
  <c r="D33"/>
  <c r="C33"/>
  <c r="B33"/>
  <c r="J19"/>
  <c r="I19"/>
  <c r="H19"/>
  <c r="G19"/>
  <c r="F19"/>
  <c r="E19"/>
  <c r="D19"/>
  <c r="C19"/>
  <c r="B19"/>
  <c r="J18"/>
  <c r="I18"/>
  <c r="H18"/>
  <c r="G18"/>
  <c r="F18"/>
  <c r="E18"/>
  <c r="D18"/>
  <c r="C18"/>
  <c r="B18"/>
  <c r="J17"/>
  <c r="I17"/>
  <c r="H17"/>
  <c r="G17"/>
  <c r="F17"/>
  <c r="E17"/>
  <c r="D17"/>
  <c r="C17"/>
  <c r="B17"/>
  <c r="U170" i="1"/>
  <c r="T170"/>
  <c r="S170"/>
  <c r="R170"/>
  <c r="Q170"/>
  <c r="P170"/>
  <c r="O170"/>
  <c r="N170"/>
  <c r="M170"/>
  <c r="U169"/>
  <c r="T169"/>
  <c r="S169"/>
  <c r="R169"/>
  <c r="Q169"/>
  <c r="P169"/>
  <c r="O169"/>
  <c r="N169"/>
  <c r="M169"/>
  <c r="U168"/>
  <c r="T168"/>
  <c r="S168"/>
  <c r="R168"/>
  <c r="Q168"/>
  <c r="P168"/>
  <c r="O168"/>
  <c r="N168"/>
  <c r="M168"/>
  <c r="U167"/>
  <c r="T167"/>
  <c r="S167"/>
  <c r="R167"/>
  <c r="Q167"/>
  <c r="P167"/>
  <c r="O167"/>
  <c r="N167"/>
  <c r="M167"/>
  <c r="U166"/>
  <c r="T166"/>
  <c r="S166"/>
  <c r="R166"/>
  <c r="Q166"/>
  <c r="P166"/>
  <c r="O166"/>
  <c r="N166"/>
  <c r="M166"/>
  <c r="U165"/>
  <c r="T165"/>
  <c r="S165"/>
  <c r="R165"/>
  <c r="Q165"/>
  <c r="P165"/>
  <c r="O165"/>
  <c r="N165"/>
  <c r="M165"/>
  <c r="U164"/>
  <c r="T164"/>
  <c r="S164"/>
  <c r="R164"/>
  <c r="Q164"/>
  <c r="P164"/>
  <c r="O164"/>
  <c r="N164"/>
  <c r="M164"/>
  <c r="U163"/>
  <c r="T163"/>
  <c r="S163"/>
  <c r="R163"/>
  <c r="Q163"/>
  <c r="P163"/>
  <c r="O163"/>
  <c r="N163"/>
  <c r="M163"/>
  <c r="U162"/>
  <c r="T162"/>
  <c r="S162"/>
  <c r="R162"/>
  <c r="Q162"/>
  <c r="P162"/>
  <c r="O162"/>
  <c r="N162"/>
  <c r="M162"/>
  <c r="U161"/>
  <c r="T161"/>
  <c r="S161"/>
  <c r="R161"/>
  <c r="Q161"/>
  <c r="P161"/>
  <c r="O161"/>
  <c r="N161"/>
  <c r="M161"/>
  <c r="U155"/>
  <c r="T155"/>
  <c r="S155"/>
  <c r="R155"/>
  <c r="Q155"/>
  <c r="P155"/>
  <c r="O155"/>
  <c r="N155"/>
  <c r="M155"/>
  <c r="U154"/>
  <c r="T154"/>
  <c r="S154"/>
  <c r="R154"/>
  <c r="Q154"/>
  <c r="P154"/>
  <c r="O154"/>
  <c r="N154"/>
  <c r="M154"/>
  <c r="U153"/>
  <c r="T153"/>
  <c r="S153"/>
  <c r="R153"/>
  <c r="Q153"/>
  <c r="P153"/>
  <c r="O153"/>
  <c r="N153"/>
  <c r="M153"/>
  <c r="U152"/>
  <c r="T152"/>
  <c r="S152"/>
  <c r="R152"/>
  <c r="Q152"/>
  <c r="P152"/>
  <c r="O152"/>
  <c r="N152"/>
  <c r="M152"/>
  <c r="U151"/>
  <c r="T151"/>
  <c r="S151"/>
  <c r="R151"/>
  <c r="Q151"/>
  <c r="P151"/>
  <c r="O151"/>
  <c r="N151"/>
  <c r="M151"/>
  <c r="U143"/>
  <c r="T143"/>
  <c r="S143"/>
  <c r="R143"/>
  <c r="Q143"/>
  <c r="P143"/>
  <c r="O143"/>
  <c r="N143"/>
  <c r="M143"/>
  <c r="U142"/>
  <c r="T142"/>
  <c r="S142"/>
  <c r="R142"/>
  <c r="Q142"/>
  <c r="P142"/>
  <c r="O142"/>
  <c r="N142"/>
  <c r="M142"/>
  <c r="U141"/>
  <c r="T141"/>
  <c r="S141"/>
  <c r="R141"/>
  <c r="Q141"/>
  <c r="P141"/>
  <c r="O141"/>
  <c r="N141"/>
  <c r="M141"/>
  <c r="U140"/>
  <c r="T140"/>
  <c r="S140"/>
  <c r="R140"/>
  <c r="Q140"/>
  <c r="P140"/>
  <c r="O140"/>
  <c r="N140"/>
  <c r="M140"/>
  <c r="U139"/>
  <c r="T139"/>
  <c r="S139"/>
  <c r="R139"/>
  <c r="Q139"/>
  <c r="P139"/>
  <c r="O139"/>
  <c r="N139"/>
  <c r="M139"/>
  <c r="U131"/>
  <c r="T131"/>
  <c r="S131"/>
  <c r="R131"/>
  <c r="Q131"/>
  <c r="P131"/>
  <c r="O131"/>
  <c r="N131"/>
  <c r="M131"/>
  <c r="U130"/>
  <c r="T130"/>
  <c r="S130"/>
  <c r="R130"/>
  <c r="Q130"/>
  <c r="P130"/>
  <c r="O130"/>
  <c r="N130"/>
  <c r="M130"/>
  <c r="U129"/>
  <c r="T129"/>
  <c r="S129"/>
  <c r="R129"/>
  <c r="Q129"/>
  <c r="P129"/>
  <c r="O129"/>
  <c r="N129"/>
  <c r="M129"/>
  <c r="U128"/>
  <c r="T128"/>
  <c r="S128"/>
  <c r="R128"/>
  <c r="Q128"/>
  <c r="P128"/>
  <c r="O128"/>
  <c r="N128"/>
  <c r="M128"/>
  <c r="U127"/>
  <c r="T127"/>
  <c r="S127"/>
  <c r="R127"/>
  <c r="Q127"/>
  <c r="P127"/>
  <c r="O127"/>
  <c r="N127"/>
  <c r="M127"/>
  <c r="U119"/>
  <c r="T119"/>
  <c r="S119"/>
  <c r="R119"/>
  <c r="Q119"/>
  <c r="P119"/>
  <c r="O119"/>
  <c r="N119"/>
  <c r="M119"/>
  <c r="U118"/>
  <c r="T118"/>
  <c r="S118"/>
  <c r="R118"/>
  <c r="Q118"/>
  <c r="P118"/>
  <c r="O118"/>
  <c r="N118"/>
  <c r="M118"/>
  <c r="U117"/>
  <c r="T117"/>
  <c r="S117"/>
  <c r="R117"/>
  <c r="Q117"/>
  <c r="P117"/>
  <c r="O117"/>
  <c r="N117"/>
  <c r="M117"/>
  <c r="U116"/>
  <c r="T116"/>
  <c r="S116"/>
  <c r="R116"/>
  <c r="Q116"/>
  <c r="P116"/>
  <c r="O116"/>
  <c r="N116"/>
  <c r="M116"/>
  <c r="U115"/>
  <c r="T115"/>
  <c r="S115"/>
  <c r="R115"/>
  <c r="Q115"/>
  <c r="P115"/>
  <c r="O115"/>
  <c r="N115"/>
  <c r="M115"/>
  <c r="U107"/>
  <c r="T107"/>
  <c r="S107"/>
  <c r="R107"/>
  <c r="Q107"/>
  <c r="P107"/>
  <c r="O107"/>
  <c r="N107"/>
  <c r="M107"/>
  <c r="U106"/>
  <c r="T106"/>
  <c r="S106"/>
  <c r="R106"/>
  <c r="Q106"/>
  <c r="P106"/>
  <c r="O106"/>
  <c r="N106"/>
  <c r="M106"/>
  <c r="U105"/>
  <c r="T105"/>
  <c r="S105"/>
  <c r="R105"/>
  <c r="Q105"/>
  <c r="P105"/>
  <c r="O105"/>
  <c r="N105"/>
  <c r="M105"/>
  <c r="U104"/>
  <c r="T104"/>
  <c r="S104"/>
  <c r="R104"/>
  <c r="Q104"/>
  <c r="P104"/>
  <c r="O104"/>
  <c r="N104"/>
  <c r="M104"/>
  <c r="U103"/>
  <c r="T103"/>
  <c r="S103"/>
  <c r="R103"/>
  <c r="Q103"/>
  <c r="P103"/>
  <c r="O103"/>
  <c r="N103"/>
  <c r="M103"/>
  <c r="U94"/>
  <c r="T94"/>
  <c r="S94"/>
  <c r="R94"/>
  <c r="Q94"/>
  <c r="P94"/>
  <c r="O94"/>
  <c r="N94"/>
  <c r="M94"/>
  <c r="U93"/>
  <c r="T93"/>
  <c r="S93"/>
  <c r="R93"/>
  <c r="Q93"/>
  <c r="P93"/>
  <c r="O93"/>
  <c r="N93"/>
  <c r="M93"/>
  <c r="U92"/>
  <c r="T92"/>
  <c r="S92"/>
  <c r="R92"/>
  <c r="Q92"/>
  <c r="P92"/>
  <c r="O92"/>
  <c r="N92"/>
  <c r="M92"/>
  <c r="U91"/>
  <c r="T91"/>
  <c r="S91"/>
  <c r="R91"/>
  <c r="Q91"/>
  <c r="P91"/>
  <c r="O91"/>
  <c r="N91"/>
  <c r="M91"/>
  <c r="U90"/>
  <c r="T90"/>
  <c r="S90"/>
  <c r="R90"/>
  <c r="Q90"/>
  <c r="P90"/>
  <c r="O90"/>
  <c r="N90"/>
  <c r="M90"/>
  <c r="U89"/>
  <c r="T89"/>
  <c r="S89"/>
  <c r="R89"/>
  <c r="Q89"/>
  <c r="P89"/>
  <c r="O89"/>
  <c r="N89"/>
  <c r="M89"/>
  <c r="U88"/>
  <c r="T88"/>
  <c r="S88"/>
  <c r="R88"/>
  <c r="Q88"/>
  <c r="P88"/>
  <c r="O88"/>
  <c r="N88"/>
  <c r="M88"/>
  <c r="U87"/>
  <c r="T87"/>
  <c r="S87"/>
  <c r="R87"/>
  <c r="Q87"/>
  <c r="P87"/>
  <c r="O87"/>
  <c r="N87"/>
  <c r="M87"/>
  <c r="U86"/>
  <c r="T86"/>
  <c r="S86"/>
  <c r="R86"/>
  <c r="Q86"/>
  <c r="P86"/>
  <c r="O86"/>
  <c r="N86"/>
  <c r="M86"/>
  <c r="U85"/>
  <c r="T85"/>
  <c r="S85"/>
  <c r="R85"/>
  <c r="Q85"/>
  <c r="P85"/>
  <c r="O85"/>
  <c r="N85"/>
  <c r="M85"/>
  <c r="U84"/>
  <c r="T84"/>
  <c r="S84"/>
  <c r="R84"/>
  <c r="Q84"/>
  <c r="P84"/>
  <c r="O84"/>
  <c r="N84"/>
  <c r="M84"/>
  <c r="U83"/>
  <c r="T83"/>
  <c r="S83"/>
  <c r="R83"/>
  <c r="Q83"/>
  <c r="P83"/>
  <c r="O83"/>
  <c r="N83"/>
  <c r="M83"/>
  <c r="U82"/>
  <c r="T82"/>
  <c r="S82"/>
  <c r="R82"/>
  <c r="Q82"/>
  <c r="P82"/>
  <c r="O82"/>
  <c r="N82"/>
  <c r="M82"/>
  <c r="U77"/>
  <c r="T77"/>
  <c r="S77"/>
  <c r="R77"/>
  <c r="Q77"/>
  <c r="P77"/>
  <c r="O77"/>
  <c r="N77"/>
  <c r="M77"/>
  <c r="U76"/>
  <c r="T76"/>
  <c r="S76"/>
  <c r="R76"/>
  <c r="Q76"/>
  <c r="P76"/>
  <c r="O76"/>
  <c r="N76"/>
  <c r="M76"/>
  <c r="U75"/>
  <c r="T75"/>
  <c r="S75"/>
  <c r="R75"/>
  <c r="Q75"/>
  <c r="P75"/>
  <c r="O75"/>
  <c r="N75"/>
  <c r="M75"/>
  <c r="U74"/>
  <c r="T74"/>
  <c r="S74"/>
  <c r="R74"/>
  <c r="Q74"/>
  <c r="P74"/>
  <c r="O74"/>
  <c r="N74"/>
  <c r="M74"/>
  <c r="U73"/>
  <c r="T73"/>
  <c r="S73"/>
  <c r="R73"/>
  <c r="Q73"/>
  <c r="P73"/>
  <c r="O73"/>
  <c r="N73"/>
  <c r="M73"/>
  <c r="U72"/>
  <c r="T72"/>
  <c r="S72"/>
  <c r="R72"/>
  <c r="Q72"/>
  <c r="P72"/>
  <c r="O72"/>
  <c r="N72"/>
  <c r="M72"/>
  <c r="U71"/>
  <c r="T71"/>
  <c r="S71"/>
  <c r="R71"/>
  <c r="Q71"/>
  <c r="P71"/>
  <c r="O71"/>
  <c r="N71"/>
  <c r="M71"/>
  <c r="U70"/>
  <c r="T70"/>
  <c r="S70"/>
  <c r="R70"/>
  <c r="Q70"/>
  <c r="P70"/>
  <c r="O70"/>
  <c r="N70"/>
  <c r="M70"/>
  <c r="U65"/>
  <c r="T65"/>
  <c r="S65"/>
  <c r="R65"/>
  <c r="Q65"/>
  <c r="P65"/>
  <c r="O65"/>
  <c r="N65"/>
  <c r="M65"/>
  <c r="U64"/>
  <c r="T64"/>
  <c r="S64"/>
  <c r="R64"/>
  <c r="Q64"/>
  <c r="P64"/>
  <c r="O64"/>
  <c r="N64"/>
  <c r="M64"/>
  <c r="U63"/>
  <c r="T63"/>
  <c r="S63"/>
  <c r="R63"/>
  <c r="Q63"/>
  <c r="P63"/>
  <c r="O63"/>
  <c r="N63"/>
  <c r="M63"/>
  <c r="U62"/>
  <c r="T62"/>
  <c r="S62"/>
  <c r="R62"/>
  <c r="Q62"/>
  <c r="P62"/>
  <c r="O62"/>
  <c r="N62"/>
  <c r="M62"/>
  <c r="U61"/>
  <c r="T61"/>
  <c r="S61"/>
  <c r="R61"/>
  <c r="Q61"/>
  <c r="P61"/>
  <c r="O61"/>
  <c r="N61"/>
  <c r="M61"/>
  <c r="U60"/>
  <c r="T60"/>
  <c r="S60"/>
  <c r="R60"/>
  <c r="Q60"/>
  <c r="P60"/>
  <c r="O60"/>
  <c r="N60"/>
  <c r="M60"/>
  <c r="U59"/>
  <c r="T59"/>
  <c r="S59"/>
  <c r="R59"/>
  <c r="Q59"/>
  <c r="P59"/>
  <c r="O59"/>
  <c r="N59"/>
  <c r="M59"/>
  <c r="U58"/>
  <c r="T58"/>
  <c r="S58"/>
  <c r="R58"/>
  <c r="Q58"/>
  <c r="P58"/>
  <c r="O58"/>
  <c r="N58"/>
  <c r="M58"/>
  <c r="U53"/>
  <c r="T53"/>
  <c r="S53"/>
  <c r="R53"/>
  <c r="Q53"/>
  <c r="P53"/>
  <c r="O53"/>
  <c r="N53"/>
  <c r="M53"/>
  <c r="U52"/>
  <c r="T52"/>
  <c r="S52"/>
  <c r="R52"/>
  <c r="Q52"/>
  <c r="P52"/>
  <c r="O52"/>
  <c r="N52"/>
  <c r="M52"/>
  <c r="U51"/>
  <c r="T51"/>
  <c r="S51"/>
  <c r="R51"/>
  <c r="Q51"/>
  <c r="P51"/>
  <c r="O51"/>
  <c r="N51"/>
  <c r="M51"/>
  <c r="U50"/>
  <c r="T50"/>
  <c r="S50"/>
  <c r="R50"/>
  <c r="Q50"/>
  <c r="P50"/>
  <c r="O50"/>
  <c r="N50"/>
  <c r="M50"/>
  <c r="U49"/>
  <c r="T49"/>
  <c r="S49"/>
  <c r="R49"/>
  <c r="Q49"/>
  <c r="P49"/>
  <c r="O49"/>
  <c r="N49"/>
  <c r="M49"/>
  <c r="U48"/>
  <c r="T48"/>
  <c r="S48"/>
  <c r="R48"/>
  <c r="Q48"/>
  <c r="P48"/>
  <c r="O48"/>
  <c r="N48"/>
  <c r="M48"/>
  <c r="U47"/>
  <c r="T47"/>
  <c r="S47"/>
  <c r="R47"/>
  <c r="Q47"/>
  <c r="P47"/>
  <c r="O47"/>
  <c r="N47"/>
  <c r="M47"/>
  <c r="U46"/>
  <c r="T46"/>
  <c r="S46"/>
  <c r="R46"/>
  <c r="Q46"/>
  <c r="P46"/>
  <c r="O46"/>
  <c r="N46"/>
  <c r="M46"/>
  <c r="U41"/>
  <c r="T41"/>
  <c r="S41"/>
  <c r="R41"/>
  <c r="Q41"/>
  <c r="P41"/>
  <c r="O41"/>
  <c r="N41"/>
  <c r="M41"/>
  <c r="U40"/>
  <c r="T40"/>
  <c r="S40"/>
  <c r="R40"/>
  <c r="Q40"/>
  <c r="P40"/>
  <c r="O40"/>
  <c r="N40"/>
  <c r="M40"/>
  <c r="U39"/>
  <c r="T39"/>
  <c r="S39"/>
  <c r="R39"/>
  <c r="Q39"/>
  <c r="P39"/>
  <c r="O39"/>
  <c r="N39"/>
  <c r="M39"/>
  <c r="U38"/>
  <c r="T38"/>
  <c r="S38"/>
  <c r="R38"/>
  <c r="Q38"/>
  <c r="P38"/>
  <c r="O38"/>
  <c r="N38"/>
  <c r="M38"/>
  <c r="U37"/>
  <c r="T37"/>
  <c r="S37"/>
  <c r="R37"/>
  <c r="Q37"/>
  <c r="P37"/>
  <c r="O37"/>
  <c r="N37"/>
  <c r="M37"/>
  <c r="U36"/>
  <c r="T36"/>
  <c r="S36"/>
  <c r="R36"/>
  <c r="Q36"/>
  <c r="P36"/>
  <c r="O36"/>
  <c r="N36"/>
  <c r="M36"/>
  <c r="U35"/>
  <c r="T35"/>
  <c r="S35"/>
  <c r="R35"/>
  <c r="Q35"/>
  <c r="P35"/>
  <c r="O35"/>
  <c r="N35"/>
  <c r="M35"/>
  <c r="U34"/>
  <c r="T34"/>
  <c r="S34"/>
  <c r="R34"/>
  <c r="Q34"/>
  <c r="P34"/>
  <c r="O34"/>
  <c r="N34"/>
  <c r="M34"/>
  <c r="U29"/>
  <c r="T29"/>
  <c r="S29"/>
  <c r="R29"/>
  <c r="Q29"/>
  <c r="P29"/>
  <c r="O29"/>
  <c r="N29"/>
  <c r="M29"/>
  <c r="U28"/>
  <c r="T28"/>
  <c r="S28"/>
  <c r="R28"/>
  <c r="Q28"/>
  <c r="P28"/>
  <c r="O28"/>
  <c r="N28"/>
  <c r="M28"/>
  <c r="U27"/>
  <c r="T27"/>
  <c r="S27"/>
  <c r="R27"/>
  <c r="Q27"/>
  <c r="P27"/>
  <c r="O27"/>
  <c r="N27"/>
  <c r="M27"/>
  <c r="U26"/>
  <c r="T26"/>
  <c r="S26"/>
  <c r="R26"/>
  <c r="Q26"/>
  <c r="P26"/>
  <c r="O26"/>
  <c r="N26"/>
  <c r="M26"/>
  <c r="U25"/>
  <c r="T25"/>
  <c r="S25"/>
  <c r="R25"/>
  <c r="Q25"/>
  <c r="P25"/>
  <c r="O25"/>
  <c r="N25"/>
  <c r="M25"/>
  <c r="U24"/>
  <c r="T24"/>
  <c r="S24"/>
  <c r="R24"/>
  <c r="Q24"/>
  <c r="P24"/>
  <c r="O24"/>
  <c r="N24"/>
  <c r="M24"/>
  <c r="U23"/>
  <c r="T23"/>
  <c r="S23"/>
  <c r="R23"/>
  <c r="Q23"/>
  <c r="P23"/>
  <c r="O23"/>
  <c r="N23"/>
  <c r="M23"/>
  <c r="U22"/>
  <c r="T22"/>
  <c r="S22"/>
  <c r="R22"/>
  <c r="Q22"/>
  <c r="P22"/>
  <c r="O22"/>
  <c r="N22"/>
  <c r="M22"/>
</calcChain>
</file>

<file path=xl/sharedStrings.xml><?xml version="1.0" encoding="utf-8"?>
<sst xmlns="http://schemas.openxmlformats.org/spreadsheetml/2006/main" count="860" uniqueCount="112">
  <si>
    <t>Influencia del tratamiento a las semillas de arroz INCA LP-7 con diferentes concentraciones de un extracto acuoso de sargazo en la germinación y el crecimiento inicial de las plántulas</t>
  </si>
  <si>
    <t>Tratamientos</t>
  </si>
  <si>
    <t>1- Control sin imbibición</t>
  </si>
  <si>
    <t>2- Imbibición durante 24 h con un extracto acuoso de sargazo (1:6 m:v) 0,1 %</t>
  </si>
  <si>
    <t>3- Imbibición durante 24 h con un extracto acuoso de sargazo (1:6 m:v) 0,5 %</t>
  </si>
  <si>
    <t>4- Imbibición durante 24 h con un extracto acuoso de sargazo (1:6 m:v) 1 %</t>
  </si>
  <si>
    <t>5- Imbibición durante 24 h con un extracto acuoso de sargazo (1:6 m:v) 1,5 %</t>
  </si>
  <si>
    <t>6- Imbibición durante 24 h con un extracto acuoso de sargazo (1:6 m:v) 2 %</t>
  </si>
  <si>
    <t>7- Imbibición durante 24 h con un extracto acuoso de sargazo (1:6 m:v) 2,5 %</t>
  </si>
  <si>
    <t>8- Imbibición durante 24 h con un extracto acuoso de sargazo (1:6 m:v) 5 %</t>
  </si>
  <si>
    <t>9- Imbibición durante 24 h con un extracto acuoso de sargazo (1:6 m:v) 10 %</t>
  </si>
  <si>
    <t>Fecha de tratamiento a las semillas: 22 de mayo de 2023</t>
  </si>
  <si>
    <t>Fecha de colocación en las placas: 23 de mayo de 2023</t>
  </si>
  <si>
    <t>Fecha de muestreo de las plántulas: 30 de mayo de 2023</t>
  </si>
  <si>
    <t>Primera Repetición</t>
  </si>
  <si>
    <t>Número de semillas germinadas</t>
  </si>
  <si>
    <t>Porcentaje de germinación</t>
  </si>
  <si>
    <t>24 h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</si>
  <si>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</si>
  <si>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</si>
  <si>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</si>
  <si>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</si>
  <si>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</si>
  <si>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</si>
  <si>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</si>
  <si>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</si>
  <si>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</si>
  <si>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Medias</t>
  </si>
  <si>
    <t>Desv.Std.</t>
  </si>
  <si>
    <t>Int.Conf.</t>
  </si>
  <si>
    <t>48 h</t>
  </si>
  <si>
    <t>72 h</t>
  </si>
  <si>
    <t>144 h</t>
  </si>
  <si>
    <t>168 h</t>
  </si>
  <si>
    <t>Masa seca de 5 plántulas (mg)</t>
  </si>
  <si>
    <t>Masa seca de las plántulas (mg/planta)</t>
  </si>
  <si>
    <t>Segunda Repetición</t>
  </si>
  <si>
    <t>Masa seca (mg/plántula)</t>
  </si>
  <si>
    <t>72h</t>
  </si>
  <si>
    <t>168h</t>
  </si>
  <si>
    <t>Intervalo de confianza</t>
  </si>
  <si>
    <t>interv conf</t>
  </si>
  <si>
    <t>desvest</t>
  </si>
  <si>
    <t>prom</t>
  </si>
  <si>
    <t>t5</t>
  </si>
  <si>
    <t>t4</t>
  </si>
  <si>
    <t>t3</t>
  </si>
  <si>
    <t>t2</t>
  </si>
  <si>
    <t>t1</t>
  </si>
  <si>
    <t>dia 6 en la tarde</t>
  </si>
  <si>
    <t>promedio</t>
  </si>
  <si>
    <t xml:space="preserve">dia 6 en la manana </t>
  </si>
  <si>
    <t>dia 5 jynio 6 de la tarde</t>
  </si>
  <si>
    <t xml:space="preserve">t1  </t>
  </si>
  <si>
    <t>dia 5 de junio 6 de la manana</t>
  </si>
  <si>
    <t>interv</t>
  </si>
  <si>
    <t>dia 4 evaluacion seis dela tarde</t>
  </si>
  <si>
    <t xml:space="preserve">dia 4 de ;la manana </t>
  </si>
  <si>
    <t>dia 3 dejunio 6 de la tarde</t>
  </si>
  <si>
    <t>dia 3 de junio 6de la manana</t>
  </si>
  <si>
    <t>interv con f</t>
  </si>
  <si>
    <t>dia  2 de junio 6 de la tarde</t>
  </si>
  <si>
    <t xml:space="preserve">interv conf </t>
  </si>
  <si>
    <t>DIA 2 DE JUNIO 6 de la manana</t>
  </si>
  <si>
    <t>INTERV CONF</t>
  </si>
  <si>
    <t>DESVEST</t>
  </si>
  <si>
    <t>PROM</t>
  </si>
  <si>
    <t>T 1.6</t>
  </si>
  <si>
    <t>T1.5</t>
  </si>
  <si>
    <t>T1.4</t>
  </si>
  <si>
    <t>T1.3</t>
  </si>
  <si>
    <t>T1.2</t>
  </si>
  <si>
    <t>T1.1</t>
  </si>
  <si>
    <t>PEG + 0,1 E2</t>
  </si>
  <si>
    <t>PEG + 0,5 E2</t>
  </si>
  <si>
    <r>
      <t xml:space="preserve">PEG + 1,0 </t>
    </r>
    <r>
      <rPr>
        <sz val="11"/>
        <color theme="1"/>
        <rFont val="Calibri"/>
        <charset val="134"/>
        <scheme val="minor"/>
      </rPr>
      <t>E2</t>
    </r>
  </si>
  <si>
    <t>PEG</t>
  </si>
  <si>
    <t>Control</t>
  </si>
  <si>
    <t>PEG + 0,1 ESp2</t>
  </si>
  <si>
    <t>PEG + 0,5 ESp2</t>
  </si>
  <si>
    <r>
      <t xml:space="preserve">PEG + 1,0 </t>
    </r>
    <r>
      <rPr>
        <sz val="11"/>
        <color theme="1"/>
        <rFont val="Calibri"/>
        <charset val="134"/>
        <scheme val="minor"/>
      </rPr>
      <t>ESp2</t>
    </r>
  </si>
  <si>
    <t>Horas</t>
  </si>
  <si>
    <t>DIA 1DE JUNIO 6 DE LA TARDE</t>
  </si>
  <si>
    <t>sumatoria</t>
  </si>
  <si>
    <t>120h</t>
  </si>
  <si>
    <t>108h</t>
  </si>
  <si>
    <t>96h</t>
  </si>
  <si>
    <t>84h</t>
  </si>
  <si>
    <t>60h</t>
  </si>
  <si>
    <t>48h</t>
  </si>
  <si>
    <t>36 h</t>
  </si>
  <si>
    <t>24h</t>
  </si>
  <si>
    <t>IC</t>
  </si>
  <si>
    <t>(GI) = Σ (Gt/Tt)</t>
  </si>
  <si>
    <t>o tasa de germinacion</t>
  </si>
  <si>
    <t xml:space="preserve">velocidad de germinacion </t>
  </si>
  <si>
    <t>tiempo medio de germinacion</t>
  </si>
  <si>
    <t xml:space="preserve">tiempo medio de germinacion </t>
  </si>
  <si>
    <t>MGT = ∑(D × n)/∑n</t>
  </si>
  <si>
    <t xml:space="preserve">tasa de germinacion </t>
  </si>
  <si>
    <t xml:space="preserve">sumatoria/∑n </t>
  </si>
  <si>
    <t>recíproco</t>
  </si>
  <si>
    <t>tasa de germinacion</t>
  </si>
  <si>
    <t>Índice de vigor (VI) = masa seca G%,</t>
  </si>
  <si>
    <t xml:space="preserve">Porcentaje final de germinacion </t>
  </si>
  <si>
    <t>Masa seca</t>
  </si>
  <si>
    <t xml:space="preserve">Indice de vigor </t>
  </si>
  <si>
    <t>0 h</t>
  </si>
  <si>
    <t>T 1.7</t>
  </si>
  <si>
    <t>T 1.8</t>
  </si>
  <si>
    <t>T 1.9</t>
  </si>
  <si>
    <t>T 1.10</t>
  </si>
</sst>
</file>

<file path=xl/styles.xml><?xml version="1.0" encoding="utf-8"?>
<styleSheet xmlns="http://schemas.openxmlformats.org/spreadsheetml/2006/main">
  <numFmts count="3">
    <numFmt numFmtId="164" formatCode="0.0_ "/>
    <numFmt numFmtId="165" formatCode="0.0"/>
    <numFmt numFmtId="166" formatCode="0.00000"/>
  </numFmts>
  <fonts count="6">
    <font>
      <sz val="11"/>
      <color theme="1"/>
      <name val="Calibri"/>
      <charset val="134"/>
      <scheme val="minor"/>
    </font>
    <font>
      <b/>
      <sz val="11"/>
      <color rgb="FFFF0000"/>
      <name val="Calibri"/>
      <charset val="134"/>
      <scheme val="minor"/>
    </font>
    <font>
      <sz val="11"/>
      <color rgb="FF000000"/>
      <name val="Calibri"/>
      <charset val="1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15">
    <xf numFmtId="0" fontId="0" fillId="0" borderId="0" xfId="0">
      <alignment vertical="center"/>
    </xf>
    <xf numFmtId="164" fontId="0" fillId="0" borderId="0" xfId="0" applyNumberFormat="1">
      <alignment vertical="center"/>
    </xf>
    <xf numFmtId="164" fontId="1" fillId="0" borderId="0" xfId="0" applyNumberFormat="1" applyFont="1">
      <alignment vertical="center"/>
    </xf>
    <xf numFmtId="0" fontId="1" fillId="0" borderId="0" xfId="0" applyFont="1">
      <alignment vertical="center"/>
    </xf>
    <xf numFmtId="164" fontId="1" fillId="0" borderId="0" xfId="0" applyNumberFormat="1" applyFont="1">
      <alignment vertical="center"/>
    </xf>
    <xf numFmtId="0" fontId="2" fillId="0" borderId="0" xfId="1"/>
    <xf numFmtId="165" fontId="2" fillId="0" borderId="0" xfId="1" applyNumberFormat="1" applyFont="1" applyBorder="1" applyAlignment="1"/>
    <xf numFmtId="0" fontId="2" fillId="2" borderId="0" xfId="1" applyFill="1"/>
    <xf numFmtId="1" fontId="2" fillId="0" borderId="0" xfId="1" applyNumberFormat="1" applyFont="1" applyBorder="1" applyAlignment="1"/>
    <xf numFmtId="1" fontId="2" fillId="2" borderId="0" xfId="1" applyNumberFormat="1" applyFont="1" applyFill="1" applyBorder="1" applyAlignment="1"/>
    <xf numFmtId="0" fontId="3" fillId="0" borderId="0" xfId="1" applyFont="1"/>
    <xf numFmtId="0" fontId="4" fillId="0" borderId="0" xfId="1" applyFont="1"/>
    <xf numFmtId="166" fontId="2" fillId="0" borderId="0" xfId="1" applyNumberFormat="1" applyFont="1" applyBorder="1" applyAlignment="1"/>
    <xf numFmtId="166" fontId="2" fillId="0" borderId="0" xfId="1" applyNumberFormat="1"/>
    <xf numFmtId="0" fontId="5" fillId="0" borderId="0" xfId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autoTitleDeleted val="1"/>
    <c:plotArea>
      <c:layout>
        <c:manualLayout>
          <c:layoutTarget val="inner"/>
          <c:xMode val="edge"/>
          <c:yMode val="edge"/>
          <c:x val="0.10671066116735409"/>
          <c:y val="6.92822840656665E-2"/>
          <c:w val="0.75733092738407892"/>
          <c:h val="0.7301851219986204"/>
        </c:manualLayout>
      </c:layout>
      <c:lineChart>
        <c:grouping val="standard"/>
        <c:ser>
          <c:idx val="0"/>
          <c:order val="0"/>
          <c:tx>
            <c:strRef>
              <c:f>'dinam de germinacion'!$P$16</c:f>
              <c:strCache>
                <c:ptCount val="1"/>
                <c:pt idx="0">
                  <c:v>T1</c:v>
                </c:pt>
              </c:strCache>
            </c:strRef>
          </c:tx>
          <c:spPr>
            <a:ln w="12700"/>
          </c:spPr>
          <c:errBars>
            <c:errDir val="y"/>
            <c:errBarType val="both"/>
            <c:errValType val="cust"/>
            <c:plus>
              <c:numRef>
                <c:f>'dinam de germinacion'!$P$27:$P$31</c:f>
                <c:numCache>
                  <c:formatCode>General</c:formatCode>
                  <c:ptCount val="5"/>
                  <c:pt idx="0">
                    <c:v>4.6656475060381499</c:v>
                  </c:pt>
                  <c:pt idx="1">
                    <c:v>5.8068469818428401</c:v>
                  </c:pt>
                  <c:pt idx="2">
                    <c:v>3.3312982010362702</c:v>
                  </c:pt>
                  <c:pt idx="3">
                    <c:v>3.5932673049900998</c:v>
                  </c:pt>
                  <c:pt idx="4">
                    <c:v>3.5932673049900998</c:v>
                  </c:pt>
                </c:numCache>
              </c:numRef>
            </c:plus>
            <c:minus>
              <c:numRef>
                <c:f>'dinam de germinacion'!$P$27:$P$31</c:f>
                <c:numCache>
                  <c:formatCode>General</c:formatCode>
                  <c:ptCount val="5"/>
                  <c:pt idx="0">
                    <c:v>4.6656475060381499</c:v>
                  </c:pt>
                  <c:pt idx="1">
                    <c:v>5.8068469818428401</c:v>
                  </c:pt>
                  <c:pt idx="2">
                    <c:v>3.3312982010362702</c:v>
                  </c:pt>
                  <c:pt idx="3">
                    <c:v>3.5932673049900998</c:v>
                  </c:pt>
                  <c:pt idx="4">
                    <c:v>3.5932673049900998</c:v>
                  </c:pt>
                </c:numCache>
              </c:numRef>
            </c:minus>
          </c:errBars>
          <c:cat>
            <c:strRef>
              <c:f>'dinam de germinacion'!$O$17:$O$22</c:f>
              <c:strCache>
                <c:ptCount val="6"/>
                <c:pt idx="0">
                  <c:v>0 h</c:v>
                </c:pt>
                <c:pt idx="1">
                  <c:v>24 h</c:v>
                </c:pt>
                <c:pt idx="2">
                  <c:v>48 h</c:v>
                </c:pt>
                <c:pt idx="3">
                  <c:v>72 h</c:v>
                </c:pt>
                <c:pt idx="4">
                  <c:v>144 h</c:v>
                </c:pt>
                <c:pt idx="5">
                  <c:v>168 h</c:v>
                </c:pt>
              </c:strCache>
            </c:strRef>
          </c:cat>
          <c:val>
            <c:numRef>
              <c:f>'dinam de germinacion'!$P$17:$P$22</c:f>
              <c:numCache>
                <c:formatCode>General</c:formatCode>
                <c:ptCount val="6"/>
                <c:pt idx="0">
                  <c:v>0</c:v>
                </c:pt>
                <c:pt idx="1">
                  <c:v>22</c:v>
                </c:pt>
                <c:pt idx="2">
                  <c:v>76</c:v>
                </c:pt>
                <c:pt idx="3">
                  <c:v>82</c:v>
                </c:pt>
                <c:pt idx="4">
                  <c:v>86.5</c:v>
                </c:pt>
                <c:pt idx="5">
                  <c:v>86.5</c:v>
                </c:pt>
              </c:numCache>
            </c:numRef>
          </c:val>
        </c:ser>
        <c:ser>
          <c:idx val="1"/>
          <c:order val="1"/>
          <c:tx>
            <c:strRef>
              <c:f>'dinam de germinacion'!$Q$16</c:f>
              <c:strCache>
                <c:ptCount val="1"/>
                <c:pt idx="0">
                  <c:v>T2</c:v>
                </c:pt>
              </c:strCache>
            </c:strRef>
          </c:tx>
          <c:spPr>
            <a:ln w="12700"/>
          </c:spPr>
          <c:errBars>
            <c:errDir val="y"/>
            <c:errBarType val="both"/>
            <c:errValType val="cust"/>
            <c:plus>
              <c:numRef>
                <c:f>'dinam de germinacion'!$Q$27:$Q$31</c:f>
                <c:numCache>
                  <c:formatCode>General</c:formatCode>
                  <c:ptCount val="5"/>
                  <c:pt idx="0">
                    <c:v>6.1025248154219103</c:v>
                  </c:pt>
                  <c:pt idx="1">
                    <c:v>6.5413747006996896</c:v>
                  </c:pt>
                  <c:pt idx="2">
                    <c:v>5.8434836038438798</c:v>
                  </c:pt>
                  <c:pt idx="3">
                    <c:v>5.3076075607022402</c:v>
                  </c:pt>
                  <c:pt idx="4">
                    <c:v>5.3076075607022402</c:v>
                  </c:pt>
                </c:numCache>
              </c:numRef>
            </c:plus>
            <c:minus>
              <c:numRef>
                <c:f>'dinam de germinacion'!$Q$27:$Q$31</c:f>
                <c:numCache>
                  <c:formatCode>General</c:formatCode>
                  <c:ptCount val="5"/>
                  <c:pt idx="0">
                    <c:v>6.1025248154219103</c:v>
                  </c:pt>
                  <c:pt idx="1">
                    <c:v>6.5413747006996896</c:v>
                  </c:pt>
                  <c:pt idx="2">
                    <c:v>5.8434836038438798</c:v>
                  </c:pt>
                  <c:pt idx="3">
                    <c:v>5.3076075607022402</c:v>
                  </c:pt>
                  <c:pt idx="4">
                    <c:v>5.3076075607022402</c:v>
                  </c:pt>
                </c:numCache>
              </c:numRef>
            </c:minus>
          </c:errBars>
          <c:cat>
            <c:strRef>
              <c:f>'dinam de germinacion'!$O$17:$O$22</c:f>
              <c:strCache>
                <c:ptCount val="6"/>
                <c:pt idx="0">
                  <c:v>0 h</c:v>
                </c:pt>
                <c:pt idx="1">
                  <c:v>24 h</c:v>
                </c:pt>
                <c:pt idx="2">
                  <c:v>48 h</c:v>
                </c:pt>
                <c:pt idx="3">
                  <c:v>72 h</c:v>
                </c:pt>
                <c:pt idx="4">
                  <c:v>144 h</c:v>
                </c:pt>
                <c:pt idx="5">
                  <c:v>168 h</c:v>
                </c:pt>
              </c:strCache>
            </c:strRef>
          </c:cat>
          <c:val>
            <c:numRef>
              <c:f>'dinam de germinacion'!$Q$17:$Q$22</c:f>
              <c:numCache>
                <c:formatCode>General</c:formatCode>
                <c:ptCount val="6"/>
                <c:pt idx="0">
                  <c:v>0</c:v>
                </c:pt>
                <c:pt idx="1">
                  <c:v>25.5</c:v>
                </c:pt>
                <c:pt idx="2">
                  <c:v>83.5</c:v>
                </c:pt>
                <c:pt idx="3">
                  <c:v>85</c:v>
                </c:pt>
                <c:pt idx="4">
                  <c:v>88</c:v>
                </c:pt>
                <c:pt idx="5">
                  <c:v>88</c:v>
                </c:pt>
              </c:numCache>
            </c:numRef>
          </c:val>
        </c:ser>
        <c:ser>
          <c:idx val="2"/>
          <c:order val="2"/>
          <c:tx>
            <c:strRef>
              <c:f>'dinam de germinacion'!$R$16</c:f>
              <c:strCache>
                <c:ptCount val="1"/>
                <c:pt idx="0">
                  <c:v>T3</c:v>
                </c:pt>
              </c:strCache>
            </c:strRef>
          </c:tx>
          <c:spPr>
            <a:ln w="12700"/>
          </c:spPr>
          <c:errBars>
            <c:errDir val="y"/>
            <c:errBarType val="both"/>
            <c:errValType val="cust"/>
            <c:plus>
              <c:numRef>
                <c:f>'dinam de germinacion'!$R$26:$R$31</c:f>
                <c:numCache>
                  <c:formatCode>General</c:formatCode>
                  <c:ptCount val="6"/>
                  <c:pt idx="0">
                    <c:v>0</c:v>
                  </c:pt>
                  <c:pt idx="1">
                    <c:v>5.0711372157296104</c:v>
                  </c:pt>
                  <c:pt idx="2">
                    <c:v>4.57324929726013</c:v>
                  </c:pt>
                  <c:pt idx="3">
                    <c:v>3.7101519430908199</c:v>
                  </c:pt>
                  <c:pt idx="4">
                    <c:v>3.5182430242653999</c:v>
                  </c:pt>
                  <c:pt idx="5">
                    <c:v>3.5182430242653999</c:v>
                  </c:pt>
                </c:numCache>
              </c:numRef>
            </c:plus>
            <c:minus>
              <c:numRef>
                <c:f>'dinam de germinacion'!$R$26:$R$31</c:f>
                <c:numCache>
                  <c:formatCode>General</c:formatCode>
                  <c:ptCount val="6"/>
                  <c:pt idx="0">
                    <c:v>0</c:v>
                  </c:pt>
                  <c:pt idx="1">
                    <c:v>5.0711372157296104</c:v>
                  </c:pt>
                  <c:pt idx="2">
                    <c:v>4.57324929726013</c:v>
                  </c:pt>
                  <c:pt idx="3">
                    <c:v>3.7101519430908199</c:v>
                  </c:pt>
                  <c:pt idx="4">
                    <c:v>3.5182430242653999</c:v>
                  </c:pt>
                  <c:pt idx="5">
                    <c:v>3.5182430242653999</c:v>
                  </c:pt>
                </c:numCache>
              </c:numRef>
            </c:minus>
          </c:errBars>
          <c:cat>
            <c:strRef>
              <c:f>'dinam de germinacion'!$O$17:$O$22</c:f>
              <c:strCache>
                <c:ptCount val="6"/>
                <c:pt idx="0">
                  <c:v>0 h</c:v>
                </c:pt>
                <c:pt idx="1">
                  <c:v>24 h</c:v>
                </c:pt>
                <c:pt idx="2">
                  <c:v>48 h</c:v>
                </c:pt>
                <c:pt idx="3">
                  <c:v>72 h</c:v>
                </c:pt>
                <c:pt idx="4">
                  <c:v>144 h</c:v>
                </c:pt>
                <c:pt idx="5">
                  <c:v>168 h</c:v>
                </c:pt>
              </c:strCache>
            </c:strRef>
          </c:cat>
          <c:val>
            <c:numRef>
              <c:f>'dinam de germinacion'!$R$17:$R$22</c:f>
              <c:numCache>
                <c:formatCode>General</c:formatCode>
                <c:ptCount val="6"/>
                <c:pt idx="0">
                  <c:v>0</c:v>
                </c:pt>
                <c:pt idx="1">
                  <c:v>23.5</c:v>
                </c:pt>
                <c:pt idx="2">
                  <c:v>81</c:v>
                </c:pt>
                <c:pt idx="3">
                  <c:v>84.5</c:v>
                </c:pt>
                <c:pt idx="4">
                  <c:v>89</c:v>
                </c:pt>
                <c:pt idx="5">
                  <c:v>89</c:v>
                </c:pt>
              </c:numCache>
            </c:numRef>
          </c:val>
        </c:ser>
        <c:ser>
          <c:idx val="3"/>
          <c:order val="3"/>
          <c:tx>
            <c:strRef>
              <c:f>'dinam de germinacion'!$S$16</c:f>
              <c:strCache>
                <c:ptCount val="1"/>
                <c:pt idx="0">
                  <c:v>T4</c:v>
                </c:pt>
              </c:strCache>
            </c:strRef>
          </c:tx>
          <c:spPr>
            <a:ln w="12700"/>
          </c:spPr>
          <c:errBars>
            <c:errDir val="y"/>
            <c:errBarType val="both"/>
            <c:errValType val="cust"/>
            <c:plus>
              <c:numRef>
                <c:f>'dinam de germinacion'!$S$26:$S$31</c:f>
                <c:numCache>
                  <c:formatCode>General</c:formatCode>
                  <c:ptCount val="6"/>
                  <c:pt idx="0">
                    <c:v>0</c:v>
                  </c:pt>
                  <c:pt idx="1">
                    <c:v>2.9938944395140199</c:v>
                  </c:pt>
                  <c:pt idx="2">
                    <c:v>6.5739190543243602</c:v>
                  </c:pt>
                  <c:pt idx="3">
                    <c:v>4.1319668820304098</c:v>
                  </c:pt>
                  <c:pt idx="4">
                    <c:v>4.4430653889841896</c:v>
                  </c:pt>
                  <c:pt idx="5">
                    <c:v>4.4430653889841896</c:v>
                  </c:pt>
                </c:numCache>
              </c:numRef>
            </c:plus>
            <c:minus>
              <c:numRef>
                <c:f>'dinam de germinacion'!$S$27:$S$31</c:f>
                <c:numCache>
                  <c:formatCode>General</c:formatCode>
                  <c:ptCount val="5"/>
                  <c:pt idx="0">
                    <c:v>2.9938944395140199</c:v>
                  </c:pt>
                  <c:pt idx="1">
                    <c:v>6.5739190543243602</c:v>
                  </c:pt>
                  <c:pt idx="2">
                    <c:v>4.1319668820304098</c:v>
                  </c:pt>
                  <c:pt idx="3">
                    <c:v>4.4430653889841896</c:v>
                  </c:pt>
                  <c:pt idx="4">
                    <c:v>4.4430653889841896</c:v>
                  </c:pt>
                </c:numCache>
              </c:numRef>
            </c:minus>
          </c:errBars>
          <c:cat>
            <c:strRef>
              <c:f>'dinam de germinacion'!$O$17:$O$22</c:f>
              <c:strCache>
                <c:ptCount val="6"/>
                <c:pt idx="0">
                  <c:v>0 h</c:v>
                </c:pt>
                <c:pt idx="1">
                  <c:v>24 h</c:v>
                </c:pt>
                <c:pt idx="2">
                  <c:v>48 h</c:v>
                </c:pt>
                <c:pt idx="3">
                  <c:v>72 h</c:v>
                </c:pt>
                <c:pt idx="4">
                  <c:v>144 h</c:v>
                </c:pt>
                <c:pt idx="5">
                  <c:v>168 h</c:v>
                </c:pt>
              </c:strCache>
            </c:strRef>
          </c:cat>
          <c:val>
            <c:numRef>
              <c:f>'dinam de germinacion'!$S$17:$S$22</c:f>
              <c:numCache>
                <c:formatCode>General</c:formatCode>
                <c:ptCount val="6"/>
                <c:pt idx="0">
                  <c:v>0</c:v>
                </c:pt>
                <c:pt idx="1">
                  <c:v>17</c:v>
                </c:pt>
                <c:pt idx="2">
                  <c:v>82.5</c:v>
                </c:pt>
                <c:pt idx="3">
                  <c:v>90</c:v>
                </c:pt>
                <c:pt idx="4">
                  <c:v>92.5</c:v>
                </c:pt>
                <c:pt idx="5">
                  <c:v>92.5</c:v>
                </c:pt>
              </c:numCache>
            </c:numRef>
          </c:val>
        </c:ser>
        <c:ser>
          <c:idx val="4"/>
          <c:order val="4"/>
          <c:tx>
            <c:strRef>
              <c:f>'dinam de germinacion'!$T$16</c:f>
              <c:strCache>
                <c:ptCount val="1"/>
                <c:pt idx="0">
                  <c:v>T5</c:v>
                </c:pt>
              </c:strCache>
            </c:strRef>
          </c:tx>
          <c:spPr>
            <a:ln w="12700"/>
          </c:spPr>
          <c:errBars>
            <c:errDir val="y"/>
            <c:errBarType val="both"/>
            <c:errValType val="cust"/>
            <c:plus>
              <c:numRef>
                <c:f>#REF!</c:f>
                <c:numCache>
                  <c:formatCode>General</c:formatCode>
                  <c:ptCount val="1"/>
                  <c:pt idx="0">
                    <c:v>1</c:v>
                  </c:pt>
                </c:numCache>
              </c:numRef>
            </c:plus>
            <c:minus>
              <c:numRef>
                <c:f>#REF!</c:f>
                <c:numCache>
                  <c:formatCode>General</c:formatCode>
                  <c:ptCount val="1"/>
                  <c:pt idx="0">
                    <c:v>1</c:v>
                  </c:pt>
                </c:numCache>
              </c:numRef>
            </c:minus>
          </c:errBars>
          <c:cat>
            <c:strRef>
              <c:f>'dinam de germinacion'!$O$17:$O$22</c:f>
              <c:strCache>
                <c:ptCount val="6"/>
                <c:pt idx="0">
                  <c:v>0 h</c:v>
                </c:pt>
                <c:pt idx="1">
                  <c:v>24 h</c:v>
                </c:pt>
                <c:pt idx="2">
                  <c:v>48 h</c:v>
                </c:pt>
                <c:pt idx="3">
                  <c:v>72 h</c:v>
                </c:pt>
                <c:pt idx="4">
                  <c:v>144 h</c:v>
                </c:pt>
                <c:pt idx="5">
                  <c:v>168 h</c:v>
                </c:pt>
              </c:strCache>
            </c:strRef>
          </c:cat>
          <c:val>
            <c:numRef>
              <c:f>'dinam de germinacion'!$T$17:$T$22</c:f>
              <c:numCache>
                <c:formatCode>General</c:formatCode>
                <c:ptCount val="6"/>
                <c:pt idx="0">
                  <c:v>0</c:v>
                </c:pt>
                <c:pt idx="1">
                  <c:v>29.5</c:v>
                </c:pt>
                <c:pt idx="2">
                  <c:v>85</c:v>
                </c:pt>
                <c:pt idx="3">
                  <c:v>88.5</c:v>
                </c:pt>
                <c:pt idx="4">
                  <c:v>90.5</c:v>
                </c:pt>
                <c:pt idx="5">
                  <c:v>90.5</c:v>
                </c:pt>
              </c:numCache>
            </c:numRef>
          </c:val>
        </c:ser>
        <c:ser>
          <c:idx val="5"/>
          <c:order val="5"/>
          <c:tx>
            <c:strRef>
              <c:f>'dinam de germinacion'!$U$16</c:f>
              <c:strCache>
                <c:ptCount val="1"/>
                <c:pt idx="0">
                  <c:v>T6</c:v>
                </c:pt>
              </c:strCache>
            </c:strRef>
          </c:tx>
          <c:errBars>
            <c:errDir val="y"/>
            <c:errBarType val="both"/>
            <c:errValType val="cust"/>
            <c:plus>
              <c:numRef>
                <c:f>'dinam de germinacion'!$U$26:$U$31</c:f>
                <c:numCache>
                  <c:formatCode>General</c:formatCode>
                  <c:ptCount val="6"/>
                  <c:pt idx="0">
                    <c:v>0</c:v>
                  </c:pt>
                  <c:pt idx="1">
                    <c:v>4.8561598894067899</c:v>
                  </c:pt>
                  <c:pt idx="2">
                    <c:v>5.6200825689008198</c:v>
                  </c:pt>
                  <c:pt idx="3">
                    <c:v>5.4758305524648003</c:v>
                  </c:pt>
                  <c:pt idx="4">
                    <c:v>4.7224784380575704</c:v>
                  </c:pt>
                  <c:pt idx="5">
                    <c:v>4.7224784380575704</c:v>
                  </c:pt>
                </c:numCache>
              </c:numRef>
            </c:plus>
            <c:minus>
              <c:numRef>
                <c:f>'dinam de germinacion'!$U$26:$U$31</c:f>
                <c:numCache>
                  <c:formatCode>General</c:formatCode>
                  <c:ptCount val="6"/>
                  <c:pt idx="0">
                    <c:v>0</c:v>
                  </c:pt>
                  <c:pt idx="1">
                    <c:v>4.8561598894067899</c:v>
                  </c:pt>
                  <c:pt idx="2">
                    <c:v>5.6200825689008198</c:v>
                  </c:pt>
                  <c:pt idx="3">
                    <c:v>5.4758305524648003</c:v>
                  </c:pt>
                  <c:pt idx="4">
                    <c:v>4.7224784380575704</c:v>
                  </c:pt>
                  <c:pt idx="5">
                    <c:v>4.7224784380575704</c:v>
                  </c:pt>
                </c:numCache>
              </c:numRef>
            </c:minus>
          </c:errBars>
          <c:cat>
            <c:strRef>
              <c:f>'dinam de germinacion'!$O$17:$O$22</c:f>
              <c:strCache>
                <c:ptCount val="6"/>
                <c:pt idx="0">
                  <c:v>0 h</c:v>
                </c:pt>
                <c:pt idx="1">
                  <c:v>24 h</c:v>
                </c:pt>
                <c:pt idx="2">
                  <c:v>48 h</c:v>
                </c:pt>
                <c:pt idx="3">
                  <c:v>72 h</c:v>
                </c:pt>
                <c:pt idx="4">
                  <c:v>144 h</c:v>
                </c:pt>
                <c:pt idx="5">
                  <c:v>168 h</c:v>
                </c:pt>
              </c:strCache>
            </c:strRef>
          </c:cat>
          <c:val>
            <c:numRef>
              <c:f>'dinam de germinacion'!$U$17:$U$22</c:f>
              <c:numCache>
                <c:formatCode>General</c:formatCode>
                <c:ptCount val="6"/>
                <c:pt idx="0">
                  <c:v>0</c:v>
                </c:pt>
                <c:pt idx="1">
                  <c:v>26.5</c:v>
                </c:pt>
                <c:pt idx="2">
                  <c:v>86</c:v>
                </c:pt>
                <c:pt idx="3">
                  <c:v>88.5</c:v>
                </c:pt>
                <c:pt idx="4">
                  <c:v>90.5</c:v>
                </c:pt>
                <c:pt idx="5">
                  <c:v>90.5</c:v>
                </c:pt>
              </c:numCache>
            </c:numRef>
          </c:val>
        </c:ser>
        <c:ser>
          <c:idx val="6"/>
          <c:order val="6"/>
          <c:tx>
            <c:strRef>
              <c:f>'dinam de germinacion'!$V$16</c:f>
              <c:strCache>
                <c:ptCount val="1"/>
                <c:pt idx="0">
                  <c:v>T7</c:v>
                </c:pt>
              </c:strCache>
            </c:strRef>
          </c:tx>
          <c:errBars>
            <c:errDir val="y"/>
            <c:errBarType val="both"/>
            <c:errValType val="cust"/>
            <c:plus>
              <c:numRef>
                <c:f>'dinam de germinacion'!$V$26:$V$31</c:f>
                <c:numCache>
                  <c:formatCode>General</c:formatCode>
                  <c:ptCount val="6"/>
                  <c:pt idx="0">
                    <c:v>0</c:v>
                  </c:pt>
                  <c:pt idx="1">
                    <c:v>5.8434836038438798</c:v>
                  </c:pt>
                  <c:pt idx="2">
                    <c:v>5.0711372157296104</c:v>
                  </c:pt>
                  <c:pt idx="3">
                    <c:v>4.1448591657208098</c:v>
                  </c:pt>
                  <c:pt idx="4">
                    <c:v>4.1448591657208098</c:v>
                  </c:pt>
                  <c:pt idx="5">
                    <c:v>4.1448591657208098</c:v>
                  </c:pt>
                </c:numCache>
              </c:numRef>
            </c:plus>
            <c:minus>
              <c:numRef>
                <c:f>'dinam de germinacion'!$V$26:$V$31</c:f>
                <c:numCache>
                  <c:formatCode>General</c:formatCode>
                  <c:ptCount val="6"/>
                  <c:pt idx="0">
                    <c:v>0</c:v>
                  </c:pt>
                  <c:pt idx="1">
                    <c:v>5.8434836038438798</c:v>
                  </c:pt>
                  <c:pt idx="2">
                    <c:v>5.0711372157296104</c:v>
                  </c:pt>
                  <c:pt idx="3">
                    <c:v>4.1448591657208098</c:v>
                  </c:pt>
                  <c:pt idx="4">
                    <c:v>4.1448591657208098</c:v>
                  </c:pt>
                  <c:pt idx="5">
                    <c:v>4.1448591657208098</c:v>
                  </c:pt>
                </c:numCache>
              </c:numRef>
            </c:minus>
          </c:errBars>
          <c:cat>
            <c:strRef>
              <c:f>'dinam de germinacion'!$O$17:$O$22</c:f>
              <c:strCache>
                <c:ptCount val="6"/>
                <c:pt idx="0">
                  <c:v>0 h</c:v>
                </c:pt>
                <c:pt idx="1">
                  <c:v>24 h</c:v>
                </c:pt>
                <c:pt idx="2">
                  <c:v>48 h</c:v>
                </c:pt>
                <c:pt idx="3">
                  <c:v>72 h</c:v>
                </c:pt>
                <c:pt idx="4">
                  <c:v>144 h</c:v>
                </c:pt>
                <c:pt idx="5">
                  <c:v>168 h</c:v>
                </c:pt>
              </c:strCache>
            </c:strRef>
          </c:cat>
          <c:val>
            <c:numRef>
              <c:f>'dinam de germinacion'!$V$17:$V$22</c:f>
              <c:numCache>
                <c:formatCode>General</c:formatCode>
                <c:ptCount val="6"/>
                <c:pt idx="0">
                  <c:v>0</c:v>
                </c:pt>
                <c:pt idx="1">
                  <c:v>20</c:v>
                </c:pt>
                <c:pt idx="2">
                  <c:v>78.5</c:v>
                </c:pt>
                <c:pt idx="3">
                  <c:v>83.5</c:v>
                </c:pt>
                <c:pt idx="4">
                  <c:v>86.5</c:v>
                </c:pt>
                <c:pt idx="5">
                  <c:v>86.5</c:v>
                </c:pt>
              </c:numCache>
            </c:numRef>
          </c:val>
        </c:ser>
        <c:ser>
          <c:idx val="7"/>
          <c:order val="7"/>
          <c:tx>
            <c:strRef>
              <c:f>'dinam de germinacion'!$W$16</c:f>
              <c:strCache>
                <c:ptCount val="1"/>
                <c:pt idx="0">
                  <c:v>T8</c:v>
                </c:pt>
              </c:strCache>
            </c:strRef>
          </c:tx>
          <c:errBars>
            <c:errDir val="y"/>
            <c:errBarType val="both"/>
            <c:errValType val="cust"/>
            <c:plus>
              <c:numRef>
                <c:f>'dinam de germinacion'!$W$27:$W$31</c:f>
                <c:numCache>
                  <c:formatCode>General</c:formatCode>
                  <c:ptCount val="5"/>
                  <c:pt idx="0">
                    <c:v>7.3335137205651799</c:v>
                  </c:pt>
                  <c:pt idx="1">
                    <c:v>4.18329763130129</c:v>
                  </c:pt>
                  <c:pt idx="2">
                    <c:v>3.3312982010362702</c:v>
                  </c:pt>
                  <c:pt idx="3">
                    <c:v>2.5303026237633199</c:v>
                  </c:pt>
                  <c:pt idx="4">
                    <c:v>2.5303026237633199</c:v>
                  </c:pt>
                </c:numCache>
              </c:numRef>
            </c:plus>
            <c:minus>
              <c:numRef>
                <c:f>'dinam de germinacion'!$W$27:$W$31</c:f>
                <c:numCache>
                  <c:formatCode>General</c:formatCode>
                  <c:ptCount val="5"/>
                  <c:pt idx="0">
                    <c:v>7.3335137205651799</c:v>
                  </c:pt>
                  <c:pt idx="1">
                    <c:v>4.18329763130129</c:v>
                  </c:pt>
                  <c:pt idx="2">
                    <c:v>3.3312982010362702</c:v>
                  </c:pt>
                  <c:pt idx="3">
                    <c:v>2.5303026237633199</c:v>
                  </c:pt>
                  <c:pt idx="4">
                    <c:v>2.5303026237633199</c:v>
                  </c:pt>
                </c:numCache>
              </c:numRef>
            </c:minus>
          </c:errBars>
          <c:cat>
            <c:strRef>
              <c:f>'dinam de germinacion'!$O$17:$O$22</c:f>
              <c:strCache>
                <c:ptCount val="6"/>
                <c:pt idx="0">
                  <c:v>0 h</c:v>
                </c:pt>
                <c:pt idx="1">
                  <c:v>24 h</c:v>
                </c:pt>
                <c:pt idx="2">
                  <c:v>48 h</c:v>
                </c:pt>
                <c:pt idx="3">
                  <c:v>72 h</c:v>
                </c:pt>
                <c:pt idx="4">
                  <c:v>144 h</c:v>
                </c:pt>
                <c:pt idx="5">
                  <c:v>168 h</c:v>
                </c:pt>
              </c:strCache>
            </c:strRef>
          </c:cat>
          <c:val>
            <c:numRef>
              <c:f>'dinam de germinacion'!$W$17:$W$22</c:f>
              <c:numCache>
                <c:formatCode>General</c:formatCode>
                <c:ptCount val="6"/>
                <c:pt idx="0">
                  <c:v>0</c:v>
                </c:pt>
                <c:pt idx="1">
                  <c:v>28</c:v>
                </c:pt>
                <c:pt idx="2">
                  <c:v>83</c:v>
                </c:pt>
                <c:pt idx="3">
                  <c:v>88</c:v>
                </c:pt>
                <c:pt idx="4">
                  <c:v>90</c:v>
                </c:pt>
                <c:pt idx="5">
                  <c:v>90</c:v>
                </c:pt>
              </c:numCache>
            </c:numRef>
          </c:val>
        </c:ser>
        <c:ser>
          <c:idx val="8"/>
          <c:order val="8"/>
          <c:tx>
            <c:strRef>
              <c:f>'dinam de germinacion'!$X$16</c:f>
              <c:strCache>
                <c:ptCount val="1"/>
                <c:pt idx="0">
                  <c:v>T9</c:v>
                </c:pt>
              </c:strCache>
            </c:strRef>
          </c:tx>
          <c:errBars>
            <c:errDir val="y"/>
            <c:errBarType val="both"/>
            <c:errValType val="cust"/>
            <c:plus>
              <c:numRef>
                <c:f>'dinam de germinacion'!$X$26:$X$31</c:f>
                <c:numCache>
                  <c:formatCode>General</c:formatCode>
                  <c:ptCount val="6"/>
                  <c:pt idx="0">
                    <c:v>0</c:v>
                  </c:pt>
                  <c:pt idx="1">
                    <c:v>7.4776043810161701</c:v>
                  </c:pt>
                  <c:pt idx="2">
                    <c:v>5.9250877912116797</c:v>
                  </c:pt>
                  <c:pt idx="3">
                    <c:v>5.4660783977037104</c:v>
                  </c:pt>
                  <c:pt idx="4">
                    <c:v>5.3176503465240499</c:v>
                  </c:pt>
                  <c:pt idx="5">
                    <c:v>5.3176503465240499</c:v>
                  </c:pt>
                </c:numCache>
              </c:numRef>
            </c:plus>
            <c:minus>
              <c:numRef>
                <c:f>'dinam de germinacion'!$X$26:$X$31</c:f>
                <c:numCache>
                  <c:formatCode>General</c:formatCode>
                  <c:ptCount val="6"/>
                  <c:pt idx="0">
                    <c:v>0</c:v>
                  </c:pt>
                  <c:pt idx="1">
                    <c:v>7.4776043810161701</c:v>
                  </c:pt>
                  <c:pt idx="2">
                    <c:v>5.9250877912116797</c:v>
                  </c:pt>
                  <c:pt idx="3">
                    <c:v>5.4660783977037104</c:v>
                  </c:pt>
                  <c:pt idx="4">
                    <c:v>5.3176503465240499</c:v>
                  </c:pt>
                  <c:pt idx="5">
                    <c:v>5.3176503465240499</c:v>
                  </c:pt>
                </c:numCache>
              </c:numRef>
            </c:minus>
          </c:errBars>
          <c:cat>
            <c:strRef>
              <c:f>'dinam de germinacion'!$O$17:$O$22</c:f>
              <c:strCache>
                <c:ptCount val="6"/>
                <c:pt idx="0">
                  <c:v>0 h</c:v>
                </c:pt>
                <c:pt idx="1">
                  <c:v>24 h</c:v>
                </c:pt>
                <c:pt idx="2">
                  <c:v>48 h</c:v>
                </c:pt>
                <c:pt idx="3">
                  <c:v>72 h</c:v>
                </c:pt>
                <c:pt idx="4">
                  <c:v>144 h</c:v>
                </c:pt>
                <c:pt idx="5">
                  <c:v>168 h</c:v>
                </c:pt>
              </c:strCache>
            </c:strRef>
          </c:cat>
          <c:val>
            <c:numRef>
              <c:f>'dinam de germinacion'!$X$17:$X$22</c:f>
              <c:numCache>
                <c:formatCode>General</c:formatCode>
                <c:ptCount val="6"/>
                <c:pt idx="0">
                  <c:v>0</c:v>
                </c:pt>
                <c:pt idx="1">
                  <c:v>27</c:v>
                </c:pt>
                <c:pt idx="2">
                  <c:v>84.5</c:v>
                </c:pt>
                <c:pt idx="3">
                  <c:v>85</c:v>
                </c:pt>
                <c:pt idx="4">
                  <c:v>87.5</c:v>
                </c:pt>
                <c:pt idx="5">
                  <c:v>87.5</c:v>
                </c:pt>
              </c:numCache>
            </c:numRef>
          </c:val>
        </c:ser>
        <c:marker val="1"/>
        <c:axId val="60550528"/>
        <c:axId val="60560512"/>
      </c:lineChart>
      <c:catAx>
        <c:axId val="60550528"/>
        <c:scaling>
          <c:orientation val="minMax"/>
        </c:scaling>
        <c:axPos val="b"/>
        <c:numFmt formatCode="General" sourceLinked="1"/>
        <c:tickLblPos val="nextTo"/>
        <c:crossAx val="60560512"/>
        <c:crossesAt val="0"/>
        <c:auto val="1"/>
        <c:lblAlgn val="ctr"/>
        <c:lblOffset val="100"/>
      </c:catAx>
      <c:valAx>
        <c:axId val="60560512"/>
        <c:scaling>
          <c:orientation val="minMax"/>
          <c:max val="100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s-ES"/>
                  <a:t>Porcentaje de germinación (%)</a:t>
                </a:r>
              </a:p>
            </c:rich>
          </c:tx>
          <c:layout/>
        </c:title>
        <c:numFmt formatCode="General" sourceLinked="1"/>
        <c:minorTickMark val="in"/>
        <c:tickLblPos val="nextTo"/>
        <c:crossAx val="60550528"/>
        <c:crosses val="autoZero"/>
        <c:crossBetween val="midCat"/>
        <c:majorUnit val="10"/>
      </c:valAx>
    </c:plotArea>
    <c:legend>
      <c:legendPos val="r"/>
      <c:layout>
        <c:manualLayout>
          <c:xMode val="edge"/>
          <c:yMode val="edge"/>
          <c:x val="0.89021921340822785"/>
          <c:y val="0.31880925972728785"/>
          <c:w val="9.7367573520577233E-2"/>
          <c:h val="0.60953658602040339"/>
        </c:manualLayout>
      </c:layout>
    </c:legend>
    <c:plotVisOnly val="1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style val="18"/>
  <c:chart>
    <c:plotArea>
      <c:layout/>
      <c:barChart>
        <c:barDir val="col"/>
        <c:grouping val="clustered"/>
        <c:ser>
          <c:idx val="0"/>
          <c:order val="0"/>
          <c:tx>
            <c:strRef>
              <c:f>'velocidad de germinacion'!$AB$14</c:f>
              <c:strCache>
                <c:ptCount val="1"/>
                <c:pt idx="0">
                  <c:v>Control</c:v>
                </c:pt>
              </c:strCache>
            </c:strRef>
          </c:tx>
          <c:dLbls>
            <c:delete val="1"/>
          </c:dLbls>
          <c:errBars>
            <c:errBarType val="both"/>
            <c:errValType val="cust"/>
            <c:plus>
              <c:numRef>
                <c:f>'velocidad de germinacion'!$AB$16</c:f>
                <c:numCache>
                  <c:formatCode>General</c:formatCode>
                  <c:ptCount val="1"/>
                  <c:pt idx="0">
                    <c:v>0.14664940396490675</c:v>
                  </c:pt>
                </c:numCache>
              </c:numRef>
            </c:plus>
            <c:minus>
              <c:numRef>
                <c:f>'velocidad de germinacion'!$AB$16</c:f>
                <c:numCache>
                  <c:formatCode>General</c:formatCode>
                  <c:ptCount val="1"/>
                  <c:pt idx="0">
                    <c:v>0.14664940396490675</c:v>
                  </c:pt>
                </c:numCache>
              </c:numRef>
            </c:minus>
          </c:errBars>
          <c:val>
            <c:numRef>
              <c:f>'velocidad de germinacion'!$AB$15</c:f>
              <c:numCache>
                <c:formatCode>General</c:formatCode>
                <c:ptCount val="1"/>
                <c:pt idx="0">
                  <c:v>7.5003968253968241</c:v>
                </c:pt>
              </c:numCache>
            </c:numRef>
          </c:val>
        </c:ser>
        <c:ser>
          <c:idx val="1"/>
          <c:order val="1"/>
          <c:tx>
            <c:strRef>
              <c:f>'velocidad de germinacion'!$AC$14</c:f>
              <c:strCache>
                <c:ptCount val="1"/>
                <c:pt idx="0">
                  <c:v>PEG</c:v>
                </c:pt>
              </c:strCache>
            </c:strRef>
          </c:tx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/>
                      <a:t>*</a:t>
                    </a:r>
                  </a:p>
                </c:rich>
              </c:tx>
              <c:dLblPos val="outEnd"/>
              <c:showVal val="1"/>
            </c:dLbl>
            <c:dLblPos val="outEnd"/>
            <c:showVal val="1"/>
          </c:dLbls>
          <c:errBars>
            <c:errBarType val="both"/>
            <c:errValType val="cust"/>
            <c:plus>
              <c:numRef>
                <c:f>'velocidad de germinacion'!$AC$16</c:f>
                <c:numCache>
                  <c:formatCode>General</c:formatCode>
                  <c:ptCount val="1"/>
                  <c:pt idx="0">
                    <c:v>0.10753083954909529</c:v>
                  </c:pt>
                </c:numCache>
              </c:numRef>
            </c:plus>
            <c:minus>
              <c:numRef>
                <c:f>'velocidad de germinacion'!$AC$16</c:f>
                <c:numCache>
                  <c:formatCode>General</c:formatCode>
                  <c:ptCount val="1"/>
                  <c:pt idx="0">
                    <c:v>0.10753083954909529</c:v>
                  </c:pt>
                </c:numCache>
              </c:numRef>
            </c:minus>
          </c:errBars>
          <c:val>
            <c:numRef>
              <c:f>'velocidad de germinacion'!$AC$15</c:f>
              <c:numCache>
                <c:formatCode>General</c:formatCode>
                <c:ptCount val="1"/>
                <c:pt idx="0">
                  <c:v>6.7238095238095239</c:v>
                </c:pt>
              </c:numCache>
            </c:numRef>
          </c:val>
        </c:ser>
        <c:ser>
          <c:idx val="2"/>
          <c:order val="2"/>
          <c:tx>
            <c:strRef>
              <c:f>'velocidad de germinacion'!$AD$14</c:f>
              <c:strCache>
                <c:ptCount val="1"/>
                <c:pt idx="0">
                  <c:v>PEG + 1,0 E2</c:v>
                </c:pt>
              </c:strCache>
            </c:strRef>
          </c:tx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/>
                      <a:t>*</a:t>
                    </a:r>
                  </a:p>
                </c:rich>
              </c:tx>
              <c:dLblPos val="outEnd"/>
              <c:showVal val="1"/>
            </c:dLbl>
            <c:dLblPos val="outEnd"/>
            <c:showVal val="1"/>
          </c:dLbls>
          <c:errBars>
            <c:errBarType val="both"/>
            <c:errValType val="cust"/>
            <c:plus>
              <c:numRef>
                <c:f>'velocidad de germinacion'!$AD$16</c:f>
                <c:numCache>
                  <c:formatCode>General</c:formatCode>
                  <c:ptCount val="1"/>
                  <c:pt idx="0">
                    <c:v>0.22862910264172204</c:v>
                  </c:pt>
                </c:numCache>
              </c:numRef>
            </c:plus>
            <c:minus>
              <c:numRef>
                <c:f>'velocidad de germinacion'!$AD$16</c:f>
                <c:numCache>
                  <c:formatCode>General</c:formatCode>
                  <c:ptCount val="1"/>
                  <c:pt idx="0">
                    <c:v>0.22862910264172204</c:v>
                  </c:pt>
                </c:numCache>
              </c:numRef>
            </c:minus>
          </c:errBars>
          <c:val>
            <c:numRef>
              <c:f>'velocidad de germinacion'!$AD$15</c:f>
              <c:numCache>
                <c:formatCode>General</c:formatCode>
                <c:ptCount val="1"/>
                <c:pt idx="0">
                  <c:v>8.0785714285714274</c:v>
                </c:pt>
              </c:numCache>
            </c:numRef>
          </c:val>
        </c:ser>
        <c:ser>
          <c:idx val="3"/>
          <c:order val="3"/>
          <c:tx>
            <c:strRef>
              <c:f>'velocidad de germinacion'!$AE$14</c:f>
              <c:strCache>
                <c:ptCount val="1"/>
                <c:pt idx="0">
                  <c:v>PEG + 0,5 E2</c:v>
                </c:pt>
              </c:strCache>
            </c:strRef>
          </c:tx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/>
                      <a:t>*</a:t>
                    </a:r>
                  </a:p>
                </c:rich>
              </c:tx>
              <c:dLblPos val="outEnd"/>
              <c:showVal val="1"/>
            </c:dLbl>
            <c:dLblPos val="outEnd"/>
            <c:showVal val="1"/>
          </c:dLbls>
          <c:errBars>
            <c:errBarType val="both"/>
            <c:errValType val="cust"/>
            <c:plus>
              <c:numRef>
                <c:f>'velocidad de germinacion'!$AE$16</c:f>
                <c:numCache>
                  <c:formatCode>General</c:formatCode>
                  <c:ptCount val="1"/>
                  <c:pt idx="0">
                    <c:v>0.20348105440036493</c:v>
                  </c:pt>
                </c:numCache>
              </c:numRef>
            </c:plus>
            <c:minus>
              <c:numRef>
                <c:f>'velocidad de germinacion'!$AE$16</c:f>
                <c:numCache>
                  <c:formatCode>General</c:formatCode>
                  <c:ptCount val="1"/>
                  <c:pt idx="0">
                    <c:v>0.20348105440036493</c:v>
                  </c:pt>
                </c:numCache>
              </c:numRef>
            </c:minus>
          </c:errBars>
          <c:val>
            <c:numRef>
              <c:f>'velocidad de germinacion'!$AE$15</c:f>
              <c:numCache>
                <c:formatCode>General</c:formatCode>
                <c:ptCount val="1"/>
                <c:pt idx="0">
                  <c:v>8.0952621452621454</c:v>
                </c:pt>
              </c:numCache>
            </c:numRef>
          </c:val>
        </c:ser>
        <c:ser>
          <c:idx val="4"/>
          <c:order val="4"/>
          <c:tx>
            <c:strRef>
              <c:f>'velocidad de germinacion'!$AF$14</c:f>
              <c:strCache>
                <c:ptCount val="1"/>
                <c:pt idx="0">
                  <c:v>PEG + 0,1 E2</c:v>
                </c:pt>
              </c:strCache>
            </c:strRef>
          </c:tx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/>
                      <a:t>*</a:t>
                    </a:r>
                  </a:p>
                </c:rich>
              </c:tx>
              <c:dLblPos val="outEnd"/>
              <c:showVal val="1"/>
            </c:dLbl>
            <c:dLblPos val="outEnd"/>
            <c:showVal val="1"/>
          </c:dLbls>
          <c:errBars>
            <c:errBarType val="both"/>
            <c:errValType val="cust"/>
            <c:plus>
              <c:numRef>
                <c:f>'velocidad de germinacion'!$AF$16</c:f>
                <c:numCache>
                  <c:formatCode>General</c:formatCode>
                  <c:ptCount val="1"/>
                  <c:pt idx="0">
                    <c:v>0.28195464845903118</c:v>
                  </c:pt>
                </c:numCache>
              </c:numRef>
            </c:plus>
            <c:minus>
              <c:numRef>
                <c:f>'velocidad de germinacion'!$AF$16</c:f>
                <c:numCache>
                  <c:formatCode>General</c:formatCode>
                  <c:ptCount val="1"/>
                  <c:pt idx="0">
                    <c:v>0.28195464845903118</c:v>
                  </c:pt>
                </c:numCache>
              </c:numRef>
            </c:minus>
          </c:errBars>
          <c:val>
            <c:numRef>
              <c:f>'velocidad de germinacion'!$AF$15</c:f>
              <c:numCache>
                <c:formatCode>General</c:formatCode>
                <c:ptCount val="1"/>
                <c:pt idx="0">
                  <c:v>8.075925925925926</c:v>
                </c:pt>
              </c:numCache>
            </c:numRef>
          </c:val>
        </c:ser>
        <c:dLbls>
          <c:showVal val="1"/>
        </c:dLbls>
        <c:overlap val="-50"/>
        <c:axId val="60739968"/>
        <c:axId val="60741504"/>
      </c:barChart>
      <c:catAx>
        <c:axId val="60739968"/>
        <c:scaling>
          <c:orientation val="minMax"/>
        </c:scaling>
        <c:delete val="1"/>
        <c:axPos val="b"/>
        <c:tickLblPos val="nextTo"/>
        <c:crossAx val="60741504"/>
        <c:crosses val="autoZero"/>
        <c:auto val="1"/>
        <c:lblAlgn val="ctr"/>
        <c:lblOffset val="100"/>
      </c:catAx>
      <c:valAx>
        <c:axId val="60741504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s-ES"/>
                  <a:t>VG </a:t>
                </a:r>
                <a:r>
                  <a:rPr lang="es-ES" baseline="0"/>
                  <a:t>(semillas día </a:t>
                </a:r>
                <a:r>
                  <a:rPr lang="es-ES" baseline="30000"/>
                  <a:t>-1</a:t>
                </a:r>
                <a:r>
                  <a:rPr lang="es-ES" baseline="0"/>
                  <a:t>)</a:t>
                </a:r>
                <a:endParaRPr lang="es-ES"/>
              </a:p>
            </c:rich>
          </c:tx>
          <c:layout/>
        </c:title>
        <c:numFmt formatCode="General" sourceLinked="1"/>
        <c:tickLblPos val="nextTo"/>
        <c:crossAx val="60739968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7.7204286964129482E-2"/>
          <c:y val="0.88850503062117381"/>
          <c:w val="0.90392475940507533"/>
          <c:h val="8.3717191601050026E-2"/>
        </c:manualLayout>
      </c:layout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style val="18"/>
  <c:chart>
    <c:plotArea>
      <c:layout/>
      <c:barChart>
        <c:barDir val="col"/>
        <c:grouping val="clustered"/>
        <c:ser>
          <c:idx val="0"/>
          <c:order val="0"/>
          <c:tx>
            <c:strRef>
              <c:f>'tiempo med y tasade germinacion'!$Y$10</c:f>
              <c:strCache>
                <c:ptCount val="1"/>
                <c:pt idx="0">
                  <c:v>Control</c:v>
                </c:pt>
              </c:strCache>
            </c:strRef>
          </c:tx>
          <c:dLbls>
            <c:delete val="1"/>
          </c:dLbls>
          <c:errBars>
            <c:errBarType val="both"/>
            <c:errValType val="cust"/>
            <c:plus>
              <c:numRef>
                <c:f>'tiempo med y tasade germinacion'!$Y$12</c:f>
                <c:numCache>
                  <c:formatCode>General</c:formatCode>
                  <c:ptCount val="1"/>
                  <c:pt idx="0">
                    <c:v>7.0157854461819991E-2</c:v>
                  </c:pt>
                </c:numCache>
              </c:numRef>
            </c:plus>
            <c:minus>
              <c:numRef>
                <c:f>'tiempo med y tasade germinacion'!$Y$12</c:f>
                <c:numCache>
                  <c:formatCode>General</c:formatCode>
                  <c:ptCount val="1"/>
                  <c:pt idx="0">
                    <c:v>7.0157854461819991E-2</c:v>
                  </c:pt>
                </c:numCache>
              </c:numRef>
            </c:minus>
          </c:errBars>
          <c:val>
            <c:numRef>
              <c:f>'tiempo med y tasade germinacion'!$Y$11</c:f>
              <c:numCache>
                <c:formatCode>General</c:formatCode>
                <c:ptCount val="1"/>
                <c:pt idx="0">
                  <c:v>1.6931818181818181</c:v>
                </c:pt>
              </c:numCache>
            </c:numRef>
          </c:val>
        </c:ser>
        <c:ser>
          <c:idx val="1"/>
          <c:order val="1"/>
          <c:tx>
            <c:strRef>
              <c:f>'tiempo med y tasade germinacion'!$Z$10</c:f>
              <c:strCache>
                <c:ptCount val="1"/>
                <c:pt idx="0">
                  <c:v>PEG</c:v>
                </c:pt>
              </c:strCache>
            </c:strRef>
          </c:tx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*</a:t>
                    </a:r>
                  </a:p>
                </c:rich>
              </c:tx>
              <c:dLblPos val="outEnd"/>
              <c:showVal val="1"/>
            </c:dLbl>
            <c:dLblPos val="outEnd"/>
            <c:showVal val="1"/>
          </c:dLbls>
          <c:errBars>
            <c:errBarType val="both"/>
            <c:errValType val="cust"/>
            <c:plus>
              <c:numRef>
                <c:f>'tiempo med y tasade germinacion'!$Z$12</c:f>
                <c:numCache>
                  <c:formatCode>General</c:formatCode>
                  <c:ptCount val="1"/>
                  <c:pt idx="0">
                    <c:v>2.4336108764904722E-2</c:v>
                  </c:pt>
                </c:numCache>
              </c:numRef>
            </c:plus>
            <c:minus>
              <c:numRef>
                <c:f>'tiempo med y tasade germinacion'!$Z$12</c:f>
                <c:numCache>
                  <c:formatCode>General</c:formatCode>
                  <c:ptCount val="1"/>
                  <c:pt idx="0">
                    <c:v>2.4336108764904722E-2</c:v>
                  </c:pt>
                </c:numCache>
              </c:numRef>
            </c:minus>
          </c:errBars>
          <c:val>
            <c:numRef>
              <c:f>'tiempo med y tasade germinacion'!$Z$11</c:f>
              <c:numCache>
                <c:formatCode>General</c:formatCode>
                <c:ptCount val="1"/>
                <c:pt idx="0">
                  <c:v>1.841540404040404</c:v>
                </c:pt>
              </c:numCache>
            </c:numRef>
          </c:val>
        </c:ser>
        <c:ser>
          <c:idx val="2"/>
          <c:order val="2"/>
          <c:tx>
            <c:strRef>
              <c:f>'tiempo med y tasade germinacion'!$AA$10</c:f>
              <c:strCache>
                <c:ptCount val="1"/>
                <c:pt idx="0">
                  <c:v>PEG + 1,0 E2</c:v>
                </c:pt>
              </c:strCache>
            </c:strRef>
          </c:tx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*</a:t>
                    </a:r>
                  </a:p>
                </c:rich>
              </c:tx>
              <c:dLblPos val="outEnd"/>
              <c:showVal val="1"/>
            </c:dLbl>
            <c:dLblPos val="outEnd"/>
            <c:showVal val="1"/>
          </c:dLbls>
          <c:errBars>
            <c:errBarType val="both"/>
            <c:errValType val="cust"/>
            <c:plus>
              <c:numRef>
                <c:f>'tiempo med y tasade germinacion'!$AA$12</c:f>
                <c:numCache>
                  <c:formatCode>General</c:formatCode>
                  <c:ptCount val="1"/>
                  <c:pt idx="0">
                    <c:v>5.7089921789097033E-2</c:v>
                  </c:pt>
                </c:numCache>
              </c:numRef>
            </c:plus>
            <c:minus>
              <c:numRef>
                <c:f>'tiempo med y tasade germinacion'!$AA$12</c:f>
                <c:numCache>
                  <c:formatCode>General</c:formatCode>
                  <c:ptCount val="1"/>
                  <c:pt idx="0">
                    <c:v>5.7089921789097033E-2</c:v>
                  </c:pt>
                </c:numCache>
              </c:numRef>
            </c:minus>
          </c:errBars>
          <c:val>
            <c:numRef>
              <c:f>'tiempo med y tasade germinacion'!$AA$11</c:f>
              <c:numCache>
                <c:formatCode>General</c:formatCode>
                <c:ptCount val="1"/>
                <c:pt idx="0">
                  <c:v>1.5157407407407408</c:v>
                </c:pt>
              </c:numCache>
            </c:numRef>
          </c:val>
        </c:ser>
        <c:ser>
          <c:idx val="3"/>
          <c:order val="3"/>
          <c:tx>
            <c:strRef>
              <c:f>'tiempo med y tasade germinacion'!$AB$10</c:f>
              <c:strCache>
                <c:ptCount val="1"/>
                <c:pt idx="0">
                  <c:v>PEG + 0,5 E2</c:v>
                </c:pt>
              </c:strCache>
            </c:strRef>
          </c:tx>
          <c:dLbls>
            <c:delete val="1"/>
          </c:dLbls>
          <c:errBars>
            <c:errBarType val="both"/>
            <c:errValType val="cust"/>
            <c:plus>
              <c:numRef>
                <c:f>'tiempo med y tasade germinacion'!$AB$12</c:f>
                <c:numCache>
                  <c:formatCode>General</c:formatCode>
                  <c:ptCount val="1"/>
                  <c:pt idx="0">
                    <c:v>0.27387799679383273</c:v>
                  </c:pt>
                </c:numCache>
              </c:numRef>
            </c:plus>
            <c:minus>
              <c:numRef>
                <c:f>'tiempo med y tasade germinacion'!$AB$12</c:f>
                <c:numCache>
                  <c:formatCode>General</c:formatCode>
                  <c:ptCount val="1"/>
                  <c:pt idx="0">
                    <c:v>0.27387799679383273</c:v>
                  </c:pt>
                </c:numCache>
              </c:numRef>
            </c:minus>
          </c:errBars>
          <c:val>
            <c:numRef>
              <c:f>'tiempo med y tasade germinacion'!$AB$11</c:f>
              <c:numCache>
                <c:formatCode>General</c:formatCode>
                <c:ptCount val="1"/>
                <c:pt idx="0">
                  <c:v>1.9378787878787878</c:v>
                </c:pt>
              </c:numCache>
            </c:numRef>
          </c:val>
        </c:ser>
        <c:ser>
          <c:idx val="4"/>
          <c:order val="4"/>
          <c:tx>
            <c:strRef>
              <c:f>'tiempo med y tasade germinacion'!$AC$10</c:f>
              <c:strCache>
                <c:ptCount val="1"/>
                <c:pt idx="0">
                  <c:v>PEG + 0,1 E2</c:v>
                </c:pt>
              </c:strCache>
            </c:strRef>
          </c:tx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*</a:t>
                    </a:r>
                  </a:p>
                </c:rich>
              </c:tx>
              <c:dLblPos val="outEnd"/>
              <c:showVal val="1"/>
            </c:dLbl>
            <c:dLblPos val="outEnd"/>
            <c:showVal val="1"/>
          </c:dLbls>
          <c:errBars>
            <c:errBarType val="both"/>
            <c:errValType val="cust"/>
            <c:plus>
              <c:numRef>
                <c:f>'tiempo med y tasade germinacion'!$AC$12</c:f>
                <c:numCache>
                  <c:formatCode>General</c:formatCode>
                  <c:ptCount val="1"/>
                  <c:pt idx="0">
                    <c:v>8.1553235806111832E-2</c:v>
                  </c:pt>
                </c:numCache>
              </c:numRef>
            </c:plus>
            <c:minus>
              <c:numRef>
                <c:f>'tiempo med y tasade germinacion'!$AC$12</c:f>
                <c:numCache>
                  <c:formatCode>General</c:formatCode>
                  <c:ptCount val="1"/>
                  <c:pt idx="0">
                    <c:v>8.1553235806111832E-2</c:v>
                  </c:pt>
                </c:numCache>
              </c:numRef>
            </c:minus>
          </c:errBars>
          <c:val>
            <c:numRef>
              <c:f>'tiempo med y tasade germinacion'!$AC$11</c:f>
              <c:numCache>
                <c:formatCode>General</c:formatCode>
                <c:ptCount val="1"/>
                <c:pt idx="0">
                  <c:v>1.4809764309764308</c:v>
                </c:pt>
              </c:numCache>
            </c:numRef>
          </c:val>
        </c:ser>
        <c:dLbls>
          <c:showVal val="1"/>
        </c:dLbls>
        <c:overlap val="-50"/>
        <c:axId val="62525824"/>
        <c:axId val="62527360"/>
      </c:barChart>
      <c:catAx>
        <c:axId val="62525824"/>
        <c:scaling>
          <c:orientation val="minMax"/>
        </c:scaling>
        <c:delete val="1"/>
        <c:axPos val="b"/>
        <c:tickLblPos val="nextTo"/>
        <c:crossAx val="62527360"/>
        <c:crosses val="autoZero"/>
        <c:auto val="1"/>
        <c:lblAlgn val="ctr"/>
        <c:lblOffset val="100"/>
      </c:catAx>
      <c:valAx>
        <c:axId val="62527360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s-ES"/>
                  <a:t>Tiempo</a:t>
                </a:r>
                <a:r>
                  <a:rPr lang="es-ES" baseline="0"/>
                  <a:t> medio</a:t>
                </a:r>
                <a:r>
                  <a:rPr lang="es-ES"/>
                  <a:t> de germinación</a:t>
                </a:r>
                <a:r>
                  <a:rPr lang="es-ES" baseline="0"/>
                  <a:t> ( días)</a:t>
                </a:r>
                <a:endParaRPr lang="es-ES"/>
              </a:p>
            </c:rich>
          </c:tx>
        </c:title>
        <c:numFmt formatCode="General" sourceLinked="1"/>
        <c:tickLblPos val="nextTo"/>
        <c:crossAx val="62525824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7.7204286964129482E-2"/>
          <c:y val="0.88850503062117403"/>
          <c:w val="0.90392475940507555"/>
          <c:h val="8.3717191601050026E-2"/>
        </c:manualLayout>
      </c:layout>
    </c:legend>
    <c:plotVisOnly val="1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style val="18"/>
  <c:chart>
    <c:plotArea>
      <c:layout/>
      <c:barChart>
        <c:barDir val="col"/>
        <c:grouping val="clustered"/>
        <c:ser>
          <c:idx val="0"/>
          <c:order val="0"/>
          <c:tx>
            <c:strRef>
              <c:f>'tiempo med y tasade germinacion'!$AD$30</c:f>
              <c:strCache>
                <c:ptCount val="1"/>
                <c:pt idx="0">
                  <c:v>Control</c:v>
                </c:pt>
              </c:strCache>
            </c:strRef>
          </c:tx>
          <c:dLbls>
            <c:delete val="1"/>
          </c:dLbls>
          <c:errBars>
            <c:errBarType val="both"/>
            <c:errValType val="cust"/>
            <c:plus>
              <c:numRef>
                <c:f>'tiempo med y tasade germinacion'!$AD$32</c:f>
                <c:numCache>
                  <c:formatCode>General</c:formatCode>
                  <c:ptCount val="1"/>
                  <c:pt idx="0">
                    <c:v>2.6318966530186273E-2</c:v>
                  </c:pt>
                </c:numCache>
              </c:numRef>
            </c:plus>
            <c:minus>
              <c:numRef>
                <c:f>'tiempo med y tasade germinacion'!$AD$32</c:f>
                <c:numCache>
                  <c:formatCode>General</c:formatCode>
                  <c:ptCount val="1"/>
                  <c:pt idx="0">
                    <c:v>2.6318966530186273E-2</c:v>
                  </c:pt>
                </c:numCache>
              </c:numRef>
            </c:minus>
          </c:errBars>
          <c:val>
            <c:numRef>
              <c:f>'tiempo med y tasade germinacion'!$AD$31</c:f>
              <c:numCache>
                <c:formatCode>General</c:formatCode>
                <c:ptCount val="1"/>
                <c:pt idx="0">
                  <c:v>0.6025317497505468</c:v>
                </c:pt>
              </c:numCache>
            </c:numRef>
          </c:val>
        </c:ser>
        <c:ser>
          <c:idx val="1"/>
          <c:order val="1"/>
          <c:tx>
            <c:strRef>
              <c:f>'tiempo med y tasade germinacion'!$AE$30</c:f>
              <c:strCache>
                <c:ptCount val="1"/>
                <c:pt idx="0">
                  <c:v>PEG</c:v>
                </c:pt>
              </c:strCache>
            </c:strRef>
          </c:tx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*</a:t>
                    </a:r>
                  </a:p>
                </c:rich>
              </c:tx>
              <c:showVal val="1"/>
            </c:dLbl>
            <c:showVal val="1"/>
          </c:dLbls>
          <c:errBars>
            <c:errBarType val="both"/>
            <c:errValType val="cust"/>
            <c:plus>
              <c:numRef>
                <c:f>'tiempo med y tasade germinacion'!$AE$32</c:f>
                <c:numCache>
                  <c:formatCode>General</c:formatCode>
                  <c:ptCount val="1"/>
                  <c:pt idx="0">
                    <c:v>7.2501525971149653E-3</c:v>
                  </c:pt>
                </c:numCache>
              </c:numRef>
            </c:plus>
            <c:minus>
              <c:numRef>
                <c:f>'tiempo med y tasade germinacion'!$AE$32</c:f>
                <c:numCache>
                  <c:formatCode>General</c:formatCode>
                  <c:ptCount val="1"/>
                  <c:pt idx="0">
                    <c:v>7.2501525971149653E-3</c:v>
                  </c:pt>
                </c:numCache>
              </c:numRef>
            </c:minus>
          </c:errBars>
          <c:val>
            <c:numRef>
              <c:f>'tiempo med y tasade germinacion'!$AE$31</c:f>
              <c:numCache>
                <c:formatCode>General</c:formatCode>
                <c:ptCount val="1"/>
                <c:pt idx="0">
                  <c:v>0.54407598893164122</c:v>
                </c:pt>
              </c:numCache>
            </c:numRef>
          </c:val>
        </c:ser>
        <c:ser>
          <c:idx val="2"/>
          <c:order val="2"/>
          <c:tx>
            <c:strRef>
              <c:f>'tiempo med y tasade germinacion'!$AF$30</c:f>
              <c:strCache>
                <c:ptCount val="1"/>
                <c:pt idx="0">
                  <c:v>PEG + 1,0 ESp2</c:v>
                </c:pt>
              </c:strCache>
            </c:strRef>
          </c:tx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*</a:t>
                    </a:r>
                  </a:p>
                </c:rich>
              </c:tx>
              <c:showVal val="1"/>
            </c:dLbl>
            <c:showVal val="1"/>
          </c:dLbls>
          <c:errBars>
            <c:errBarType val="both"/>
            <c:errValType val="cust"/>
            <c:plus>
              <c:numRef>
                <c:f>'tiempo med y tasade germinacion'!$AF$32</c:f>
                <c:numCache>
                  <c:formatCode>General</c:formatCode>
                  <c:ptCount val="1"/>
                  <c:pt idx="0">
                    <c:v>2.4031385394394887E-2</c:v>
                  </c:pt>
                </c:numCache>
              </c:numRef>
            </c:plus>
            <c:minus>
              <c:numRef>
                <c:f>'tiempo med y tasade germinacion'!$AF$32</c:f>
                <c:numCache>
                  <c:formatCode>General</c:formatCode>
                  <c:ptCount val="1"/>
                  <c:pt idx="0">
                    <c:v>2.4031385394394887E-2</c:v>
                  </c:pt>
                </c:numCache>
              </c:numRef>
            </c:minus>
          </c:errBars>
          <c:val>
            <c:numRef>
              <c:f>'tiempo med y tasade germinacion'!$AF$31</c:f>
              <c:numCache>
                <c:formatCode>General</c:formatCode>
                <c:ptCount val="1"/>
                <c:pt idx="0">
                  <c:v>0.66966405508072169</c:v>
                </c:pt>
              </c:numCache>
            </c:numRef>
          </c:val>
        </c:ser>
        <c:ser>
          <c:idx val="3"/>
          <c:order val="3"/>
          <c:tx>
            <c:strRef>
              <c:f>'tiempo med y tasade germinacion'!$AG$30</c:f>
              <c:strCache>
                <c:ptCount val="1"/>
                <c:pt idx="0">
                  <c:v>PEG + 0,5 ESp2</c:v>
                </c:pt>
              </c:strCache>
            </c:strRef>
          </c:tx>
          <c:dLbls>
            <c:delete val="1"/>
          </c:dLbls>
          <c:errBars>
            <c:errBarType val="both"/>
            <c:errValType val="cust"/>
            <c:plus>
              <c:numRef>
                <c:f>'tiempo med y tasade germinacion'!$AG$32</c:f>
                <c:numCache>
                  <c:formatCode>General</c:formatCode>
                  <c:ptCount val="1"/>
                  <c:pt idx="0">
                    <c:v>4.723488754873216E-2</c:v>
                  </c:pt>
                </c:numCache>
              </c:numRef>
            </c:plus>
            <c:minus>
              <c:numRef>
                <c:f>'tiempo med y tasade germinacion'!$AG$32</c:f>
                <c:numCache>
                  <c:formatCode>General</c:formatCode>
                  <c:ptCount val="1"/>
                  <c:pt idx="0">
                    <c:v>4.723488754873216E-2</c:v>
                  </c:pt>
                </c:numCache>
              </c:numRef>
            </c:minus>
          </c:errBars>
          <c:val>
            <c:numRef>
              <c:f>'tiempo med y tasade germinacion'!$AG$31</c:f>
              <c:numCache>
                <c:formatCode>General</c:formatCode>
                <c:ptCount val="1"/>
                <c:pt idx="0">
                  <c:v>0.58826687101567687</c:v>
                </c:pt>
              </c:numCache>
            </c:numRef>
          </c:val>
        </c:ser>
        <c:ser>
          <c:idx val="4"/>
          <c:order val="4"/>
          <c:tx>
            <c:strRef>
              <c:f>'tiempo med y tasade germinacion'!$AH$30</c:f>
              <c:strCache>
                <c:ptCount val="1"/>
                <c:pt idx="0">
                  <c:v>PEG + 0,1 ESp2</c:v>
                </c:pt>
              </c:strCache>
            </c:strRef>
          </c:tx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*</a:t>
                    </a:r>
                  </a:p>
                </c:rich>
              </c:tx>
              <c:showVal val="1"/>
            </c:dLbl>
            <c:showVal val="1"/>
          </c:dLbls>
          <c:errBars>
            <c:errBarType val="both"/>
            <c:errValType val="cust"/>
            <c:plus>
              <c:numRef>
                <c:f>'tiempo med y tasade germinacion'!$AH$32</c:f>
                <c:numCache>
                  <c:formatCode>General</c:formatCode>
                  <c:ptCount val="1"/>
                  <c:pt idx="0">
                    <c:v>3.5658615620068952E-2</c:v>
                  </c:pt>
                </c:numCache>
              </c:numRef>
            </c:plus>
            <c:minus>
              <c:numRef>
                <c:f>'tiempo med y tasade germinacion'!$AH$32</c:f>
                <c:numCache>
                  <c:formatCode>General</c:formatCode>
                  <c:ptCount val="1"/>
                  <c:pt idx="0">
                    <c:v>3.5658615620068952E-2</c:v>
                  </c:pt>
                </c:numCache>
              </c:numRef>
            </c:minus>
          </c:errBars>
          <c:val>
            <c:numRef>
              <c:f>'tiempo med y tasade germinacion'!$AH$31</c:f>
              <c:numCache>
                <c:formatCode>General</c:formatCode>
                <c:ptCount val="1"/>
                <c:pt idx="0">
                  <c:v>0.69670254670254683</c:v>
                </c:pt>
              </c:numCache>
            </c:numRef>
          </c:val>
        </c:ser>
        <c:dLbls>
          <c:showVal val="1"/>
        </c:dLbls>
        <c:overlap val="-50"/>
        <c:axId val="67178496"/>
        <c:axId val="67180032"/>
      </c:barChart>
      <c:catAx>
        <c:axId val="67178496"/>
        <c:scaling>
          <c:orientation val="minMax"/>
        </c:scaling>
        <c:delete val="1"/>
        <c:axPos val="b"/>
        <c:tickLblPos val="nextTo"/>
        <c:crossAx val="67180032"/>
        <c:crosses val="autoZero"/>
        <c:auto val="1"/>
        <c:lblAlgn val="ctr"/>
        <c:lblOffset val="100"/>
      </c:catAx>
      <c:valAx>
        <c:axId val="67180032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s-ES"/>
                  <a:t>Tasa de germinación</a:t>
                </a:r>
                <a:r>
                  <a:rPr lang="es-ES" baseline="0"/>
                  <a:t> ( días</a:t>
                </a:r>
                <a:r>
                  <a:rPr lang="es-ES" baseline="30000"/>
                  <a:t>-1</a:t>
                </a:r>
                <a:r>
                  <a:rPr lang="es-ES" baseline="0"/>
                  <a:t>)</a:t>
                </a:r>
                <a:endParaRPr lang="es-ES"/>
              </a:p>
            </c:rich>
          </c:tx>
        </c:title>
        <c:numFmt formatCode="General" sourceLinked="1"/>
        <c:tickLblPos val="nextTo"/>
        <c:crossAx val="67178496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7.7204286964129482E-2"/>
          <c:y val="0.88850503062117425"/>
          <c:w val="0.84559142607174165"/>
          <c:h val="8.3717191601049998E-2"/>
        </c:manualLayout>
      </c:layout>
    </c:legend>
    <c:plotVisOnly val="1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style val="18"/>
  <c:chart>
    <c:plotArea>
      <c:layout/>
      <c:barChart>
        <c:barDir val="col"/>
        <c:grouping val="clustered"/>
        <c:ser>
          <c:idx val="0"/>
          <c:order val="0"/>
          <c:tx>
            <c:strRef>
              <c:f>'indice de vigor'!$F$10</c:f>
              <c:strCache>
                <c:ptCount val="1"/>
                <c:pt idx="0">
                  <c:v>Control</c:v>
                </c:pt>
              </c:strCache>
            </c:strRef>
          </c:tx>
          <c:dLbls>
            <c:delete val="1"/>
          </c:dLbls>
          <c:errBars>
            <c:errBarType val="both"/>
            <c:errValType val="cust"/>
            <c:plus>
              <c:numRef>
                <c:f>'indice de vigor'!$F$19</c:f>
                <c:numCache>
                  <c:formatCode>General</c:formatCode>
                  <c:ptCount val="1"/>
                  <c:pt idx="0">
                    <c:v>5.5092891760405474</c:v>
                  </c:pt>
                </c:numCache>
              </c:numRef>
            </c:plus>
            <c:minus>
              <c:numRef>
                <c:f>'indice de vigor'!$F$19</c:f>
                <c:numCache>
                  <c:formatCode>General</c:formatCode>
                  <c:ptCount val="1"/>
                  <c:pt idx="0">
                    <c:v>5.5092891760405474</c:v>
                  </c:pt>
                </c:numCache>
              </c:numRef>
            </c:minus>
          </c:errBars>
          <c:val>
            <c:numRef>
              <c:f>'indice de vigor'!$F$17</c:f>
              <c:numCache>
                <c:formatCode>General</c:formatCode>
                <c:ptCount val="1"/>
                <c:pt idx="0">
                  <c:v>71.1111111111111</c:v>
                </c:pt>
              </c:numCache>
            </c:numRef>
          </c:val>
        </c:ser>
        <c:ser>
          <c:idx val="1"/>
          <c:order val="1"/>
          <c:tx>
            <c:strRef>
              <c:f>'indice de vigor'!$G$10</c:f>
              <c:strCache>
                <c:ptCount val="1"/>
                <c:pt idx="0">
                  <c:v>PEG</c:v>
                </c:pt>
              </c:strCache>
            </c:strRef>
          </c:tx>
          <c:dLbls>
            <c:delete val="1"/>
          </c:dLbls>
          <c:errBars>
            <c:errBarType val="both"/>
            <c:errValType val="cust"/>
            <c:plus>
              <c:numRef>
                <c:f>'indice de vigor'!$G$19</c:f>
                <c:numCache>
                  <c:formatCode>General</c:formatCode>
                  <c:ptCount val="1"/>
                  <c:pt idx="0">
                    <c:v>4.3554755212001215</c:v>
                  </c:pt>
                </c:numCache>
              </c:numRef>
            </c:plus>
            <c:minus>
              <c:numRef>
                <c:f>'indice de vigor'!$G$19</c:f>
                <c:numCache>
                  <c:formatCode>General</c:formatCode>
                  <c:ptCount val="1"/>
                  <c:pt idx="0">
                    <c:v>4.3554755212001215</c:v>
                  </c:pt>
                </c:numCache>
              </c:numRef>
            </c:minus>
          </c:errBars>
          <c:val>
            <c:numRef>
              <c:f>'indice de vigor'!$G$17</c:f>
              <c:numCache>
                <c:formatCode>General</c:formatCode>
                <c:ptCount val="1"/>
                <c:pt idx="0">
                  <c:v>71.1111111111111</c:v>
                </c:pt>
              </c:numCache>
            </c:numRef>
          </c:val>
        </c:ser>
        <c:ser>
          <c:idx val="2"/>
          <c:order val="2"/>
          <c:tx>
            <c:strRef>
              <c:f>'indice de vigor'!$H$10</c:f>
              <c:strCache>
                <c:ptCount val="1"/>
                <c:pt idx="0">
                  <c:v>PEG + 1,0 E2</c:v>
                </c:pt>
              </c:strCache>
            </c:strRef>
          </c:tx>
          <c:dLbls>
            <c:delete val="1"/>
          </c:dLbls>
          <c:errBars>
            <c:errBarType val="both"/>
            <c:errValType val="cust"/>
            <c:plus>
              <c:numRef>
                <c:f>'indice de vigor'!$H$19</c:f>
                <c:numCache>
                  <c:formatCode>General</c:formatCode>
                  <c:ptCount val="1"/>
                  <c:pt idx="0">
                    <c:v>4.3554755212001197</c:v>
                  </c:pt>
                </c:numCache>
              </c:numRef>
            </c:plus>
            <c:minus>
              <c:numRef>
                <c:f>'indice de vigor'!$H$19</c:f>
                <c:numCache>
                  <c:formatCode>General</c:formatCode>
                  <c:ptCount val="1"/>
                  <c:pt idx="0">
                    <c:v>4.3554755212001197</c:v>
                  </c:pt>
                </c:numCache>
              </c:numRef>
            </c:minus>
          </c:errBars>
          <c:val>
            <c:numRef>
              <c:f>'indice de vigor'!$H$17</c:f>
              <c:numCache>
                <c:formatCode>General</c:formatCode>
                <c:ptCount val="1"/>
                <c:pt idx="0">
                  <c:v>68.888888888888872</c:v>
                </c:pt>
              </c:numCache>
            </c:numRef>
          </c:val>
        </c:ser>
        <c:ser>
          <c:idx val="3"/>
          <c:order val="3"/>
          <c:tx>
            <c:strRef>
              <c:f>'indice de vigor'!$I$10</c:f>
              <c:strCache>
                <c:ptCount val="1"/>
                <c:pt idx="0">
                  <c:v>PEG + 0,5 E2</c:v>
                </c:pt>
              </c:strCache>
            </c:strRef>
          </c:tx>
          <c:dLbls>
            <c:delete val="1"/>
          </c:dLbls>
          <c:errBars>
            <c:errBarType val="both"/>
            <c:errValType val="cust"/>
            <c:plus>
              <c:numRef>
                <c:f>'indice de vigor'!$I$19</c:f>
                <c:numCache>
                  <c:formatCode>General</c:formatCode>
                  <c:ptCount val="1"/>
                  <c:pt idx="0">
                    <c:v>4.4630343228079834</c:v>
                  </c:pt>
                </c:numCache>
              </c:numRef>
            </c:plus>
            <c:minus>
              <c:numRef>
                <c:f>'indice de vigor'!$I$19</c:f>
                <c:numCache>
                  <c:formatCode>General</c:formatCode>
                  <c:ptCount val="1"/>
                  <c:pt idx="0">
                    <c:v>4.4630343228079834</c:v>
                  </c:pt>
                </c:numCache>
              </c:numRef>
            </c:minus>
          </c:errBars>
          <c:val>
            <c:numRef>
              <c:f>'indice de vigor'!$I$17</c:f>
              <c:numCache>
                <c:formatCode>General</c:formatCode>
                <c:ptCount val="1"/>
                <c:pt idx="0">
                  <c:v>69.999999999999986</c:v>
                </c:pt>
              </c:numCache>
            </c:numRef>
          </c:val>
        </c:ser>
        <c:ser>
          <c:idx val="4"/>
          <c:order val="4"/>
          <c:tx>
            <c:strRef>
              <c:f>'indice de vigor'!$J$10</c:f>
              <c:strCache>
                <c:ptCount val="1"/>
                <c:pt idx="0">
                  <c:v>PEG + 0,1 E2</c:v>
                </c:pt>
              </c:strCache>
            </c:strRef>
          </c:tx>
          <c:dLbls>
            <c:delete val="1"/>
          </c:dLbls>
          <c:errBars>
            <c:errBarType val="both"/>
            <c:errValType val="cust"/>
            <c:plus>
              <c:numRef>
                <c:f>'indice de vigor'!$J$19</c:f>
                <c:numCache>
                  <c:formatCode>General</c:formatCode>
                  <c:ptCount val="1"/>
                  <c:pt idx="0">
                    <c:v>3.373736831684425</c:v>
                  </c:pt>
                </c:numCache>
              </c:numRef>
            </c:plus>
            <c:minus>
              <c:numRef>
                <c:f>'indice de vigor'!$J$19</c:f>
                <c:numCache>
                  <c:formatCode>General</c:formatCode>
                  <c:ptCount val="1"/>
                  <c:pt idx="0">
                    <c:v>3.373736831684425</c:v>
                  </c:pt>
                </c:numCache>
              </c:numRef>
            </c:minus>
          </c:errBars>
          <c:val>
            <c:numRef>
              <c:f>'indice de vigor'!$J$17</c:f>
              <c:numCache>
                <c:formatCode>General</c:formatCode>
                <c:ptCount val="1"/>
                <c:pt idx="0">
                  <c:v>66.666666666666643</c:v>
                </c:pt>
              </c:numCache>
            </c:numRef>
          </c:val>
        </c:ser>
        <c:dLbls>
          <c:showVal val="1"/>
        </c:dLbls>
        <c:overlap val="-50"/>
        <c:axId val="67324544"/>
        <c:axId val="67330432"/>
      </c:barChart>
      <c:catAx>
        <c:axId val="67324544"/>
        <c:scaling>
          <c:orientation val="minMax"/>
        </c:scaling>
        <c:delete val="1"/>
        <c:axPos val="b"/>
        <c:tickLblPos val="nextTo"/>
        <c:crossAx val="67330432"/>
        <c:crosses val="autoZero"/>
        <c:auto val="1"/>
        <c:lblAlgn val="ctr"/>
        <c:lblOffset val="100"/>
      </c:catAx>
      <c:valAx>
        <c:axId val="67330432"/>
        <c:scaling>
          <c:orientation val="minMax"/>
          <c:max val="10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s-ES"/>
                  <a:t>Porcentaje</a:t>
                </a:r>
                <a:r>
                  <a:rPr lang="es-ES" baseline="0"/>
                  <a:t> final de</a:t>
                </a:r>
                <a:r>
                  <a:rPr lang="es-ES"/>
                  <a:t> germinación</a:t>
                </a:r>
                <a:r>
                  <a:rPr lang="es-ES" baseline="0"/>
                  <a:t> ( %)</a:t>
                </a:r>
                <a:endParaRPr lang="es-ES"/>
              </a:p>
            </c:rich>
          </c:tx>
        </c:title>
        <c:numFmt formatCode="General" sourceLinked="1"/>
        <c:tickLblPos val="nextTo"/>
        <c:crossAx val="67324544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7.7204286964129482E-2"/>
          <c:y val="0.88850503062117459"/>
          <c:w val="0.84559142607174165"/>
          <c:h val="8.3717191601049998E-2"/>
        </c:manualLayout>
      </c:layout>
    </c:legend>
    <c:plotVisOnly val="1"/>
  </c:chart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style val="18"/>
  <c:chart>
    <c:plotArea>
      <c:layout/>
      <c:barChart>
        <c:barDir val="col"/>
        <c:grouping val="clustered"/>
        <c:ser>
          <c:idx val="0"/>
          <c:order val="0"/>
          <c:tx>
            <c:strRef>
              <c:f>'indice de vigor'!$M$10</c:f>
              <c:strCache>
                <c:ptCount val="1"/>
                <c:pt idx="0">
                  <c:v>Control</c:v>
                </c:pt>
              </c:strCache>
            </c:strRef>
          </c:tx>
          <c:dLbls>
            <c:delete val="1"/>
          </c:dLbls>
          <c:errBars>
            <c:errBarType val="both"/>
            <c:errValType val="cust"/>
            <c:plus>
              <c:numRef>
                <c:f>'indice de vigor'!$M$19</c:f>
                <c:numCache>
                  <c:formatCode>General</c:formatCode>
                  <c:ptCount val="1"/>
                  <c:pt idx="0">
                    <c:v>4.5734591969584288</c:v>
                  </c:pt>
                </c:numCache>
              </c:numRef>
            </c:plus>
            <c:minus>
              <c:numRef>
                <c:f>'indice de vigor'!$M$19</c:f>
                <c:numCache>
                  <c:formatCode>General</c:formatCode>
                  <c:ptCount val="1"/>
                  <c:pt idx="0">
                    <c:v>4.5734591969584288</c:v>
                  </c:pt>
                </c:numCache>
              </c:numRef>
            </c:minus>
          </c:errBars>
          <c:val>
            <c:numRef>
              <c:f>'indice de vigor'!$M$17</c:f>
              <c:numCache>
                <c:formatCode>0.0</c:formatCode>
                <c:ptCount val="1"/>
                <c:pt idx="0">
                  <c:v>280.46666666666664</c:v>
                </c:pt>
              </c:numCache>
            </c:numRef>
          </c:val>
        </c:ser>
        <c:ser>
          <c:idx val="1"/>
          <c:order val="1"/>
          <c:tx>
            <c:strRef>
              <c:f>'indice de vigor'!$N$10</c:f>
              <c:strCache>
                <c:ptCount val="1"/>
                <c:pt idx="0">
                  <c:v>PEG</c:v>
                </c:pt>
              </c:strCache>
            </c:strRef>
          </c:tx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*</a:t>
                    </a:r>
                  </a:p>
                </c:rich>
              </c:tx>
              <c:showVal val="1"/>
            </c:dLbl>
            <c:showVal val="1"/>
          </c:dLbls>
          <c:errBars>
            <c:errBarType val="both"/>
            <c:errValType val="cust"/>
            <c:plus>
              <c:numRef>
                <c:f>'indice de vigor'!$N$19</c:f>
                <c:numCache>
                  <c:formatCode>General</c:formatCode>
                  <c:ptCount val="1"/>
                  <c:pt idx="0">
                    <c:v>2.9726788834073492</c:v>
                  </c:pt>
                </c:numCache>
              </c:numRef>
            </c:plus>
            <c:minus>
              <c:numRef>
                <c:f>'indice de vigor'!$N$19</c:f>
                <c:numCache>
                  <c:formatCode>General</c:formatCode>
                  <c:ptCount val="1"/>
                  <c:pt idx="0">
                    <c:v>2.9726788834073492</c:v>
                  </c:pt>
                </c:numCache>
              </c:numRef>
            </c:minus>
          </c:errBars>
          <c:val>
            <c:numRef>
              <c:f>'indice de vigor'!$N$17</c:f>
              <c:numCache>
                <c:formatCode>0.0</c:formatCode>
                <c:ptCount val="1"/>
                <c:pt idx="0">
                  <c:v>315.18400000000003</c:v>
                </c:pt>
              </c:numCache>
            </c:numRef>
          </c:val>
        </c:ser>
        <c:ser>
          <c:idx val="2"/>
          <c:order val="2"/>
          <c:tx>
            <c:strRef>
              <c:f>'indice de vigor'!$O$10</c:f>
              <c:strCache>
                <c:ptCount val="1"/>
                <c:pt idx="0">
                  <c:v>PEG + 1,0 E2</c:v>
                </c:pt>
              </c:strCache>
            </c:strRef>
          </c:tx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*</a:t>
                    </a:r>
                  </a:p>
                </c:rich>
              </c:tx>
              <c:showVal val="1"/>
            </c:dLbl>
            <c:showVal val="1"/>
          </c:dLbls>
          <c:errBars>
            <c:errBarType val="both"/>
            <c:errValType val="cust"/>
            <c:plus>
              <c:numRef>
                <c:f>'indice de vigor'!$O$19</c:f>
                <c:numCache>
                  <c:formatCode>General</c:formatCode>
                  <c:ptCount val="1"/>
                  <c:pt idx="0">
                    <c:v>4.4722657063291917</c:v>
                  </c:pt>
                </c:numCache>
              </c:numRef>
            </c:plus>
            <c:minus>
              <c:numRef>
                <c:f>'indice de vigor'!$O$19</c:f>
                <c:numCache>
                  <c:formatCode>General</c:formatCode>
                  <c:ptCount val="1"/>
                  <c:pt idx="0">
                    <c:v>4.4722657063291917</c:v>
                  </c:pt>
                </c:numCache>
              </c:numRef>
            </c:minus>
          </c:errBars>
          <c:val>
            <c:numRef>
              <c:f>'indice de vigor'!$O$17</c:f>
              <c:numCache>
                <c:formatCode>0.0</c:formatCode>
                <c:ptCount val="1"/>
                <c:pt idx="0">
                  <c:v>297.95333333333338</c:v>
                </c:pt>
              </c:numCache>
            </c:numRef>
          </c:val>
        </c:ser>
        <c:ser>
          <c:idx val="3"/>
          <c:order val="3"/>
          <c:tx>
            <c:strRef>
              <c:f>'indice de vigor'!$I$10</c:f>
              <c:strCache>
                <c:ptCount val="1"/>
                <c:pt idx="0">
                  <c:v>PEG + 0,5 E2</c:v>
                </c:pt>
              </c:strCache>
            </c:strRef>
          </c:tx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*</a:t>
                    </a:r>
                  </a:p>
                </c:rich>
              </c:tx>
              <c:showVal val="1"/>
            </c:dLbl>
            <c:showVal val="1"/>
          </c:dLbls>
          <c:errBars>
            <c:errBarType val="both"/>
            <c:errValType val="cust"/>
            <c:plus>
              <c:numRef>
                <c:f>'indice de vigor'!$P$19</c:f>
                <c:numCache>
                  <c:formatCode>General</c:formatCode>
                  <c:ptCount val="1"/>
                  <c:pt idx="0">
                    <c:v>10.317433708371057</c:v>
                  </c:pt>
                </c:numCache>
              </c:numRef>
            </c:plus>
            <c:minus>
              <c:numRef>
                <c:f>'indice de vigor'!$P$19</c:f>
                <c:numCache>
                  <c:formatCode>General</c:formatCode>
                  <c:ptCount val="1"/>
                  <c:pt idx="0">
                    <c:v>10.317433708371057</c:v>
                  </c:pt>
                </c:numCache>
              </c:numRef>
            </c:minus>
          </c:errBars>
          <c:val>
            <c:numRef>
              <c:f>'indice de vigor'!$P$17</c:f>
              <c:numCache>
                <c:formatCode>0.0</c:formatCode>
                <c:ptCount val="1"/>
                <c:pt idx="0">
                  <c:v>280.73666666666668</c:v>
                </c:pt>
              </c:numCache>
            </c:numRef>
          </c:val>
        </c:ser>
        <c:ser>
          <c:idx val="4"/>
          <c:order val="4"/>
          <c:tx>
            <c:strRef>
              <c:f>'indice de vigor'!$J$10</c:f>
              <c:strCache>
                <c:ptCount val="1"/>
                <c:pt idx="0">
                  <c:v>PEG + 0,1 E2</c:v>
                </c:pt>
              </c:strCache>
            </c:strRef>
          </c:tx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*</a:t>
                    </a:r>
                  </a:p>
                </c:rich>
              </c:tx>
              <c:showVal val="1"/>
            </c:dLbl>
            <c:showVal val="1"/>
          </c:dLbls>
          <c:errBars>
            <c:errBarType val="both"/>
            <c:errValType val="cust"/>
            <c:plus>
              <c:numRef>
                <c:f>'indice de vigor'!$Q$19</c:f>
                <c:numCache>
                  <c:formatCode>General</c:formatCode>
                  <c:ptCount val="1"/>
                  <c:pt idx="0">
                    <c:v>6.4153383051376611</c:v>
                  </c:pt>
                </c:numCache>
              </c:numRef>
            </c:plus>
            <c:minus>
              <c:numRef>
                <c:f>'indice de vigor'!$Q$19</c:f>
                <c:numCache>
                  <c:formatCode>General</c:formatCode>
                  <c:ptCount val="1"/>
                  <c:pt idx="0">
                    <c:v>6.4153383051376611</c:v>
                  </c:pt>
                </c:numCache>
              </c:numRef>
            </c:minus>
          </c:errBars>
          <c:val>
            <c:numRef>
              <c:f>'indice de vigor'!$Q$17</c:f>
              <c:numCache>
                <c:formatCode>0.0</c:formatCode>
                <c:ptCount val="1"/>
                <c:pt idx="0">
                  <c:v>283.73333333333335</c:v>
                </c:pt>
              </c:numCache>
            </c:numRef>
          </c:val>
        </c:ser>
        <c:dLbls>
          <c:showVal val="1"/>
        </c:dLbls>
        <c:overlap val="-50"/>
        <c:axId val="67254912"/>
        <c:axId val="67273088"/>
      </c:barChart>
      <c:catAx>
        <c:axId val="67254912"/>
        <c:scaling>
          <c:orientation val="minMax"/>
        </c:scaling>
        <c:delete val="1"/>
        <c:axPos val="b"/>
        <c:tickLblPos val="nextTo"/>
        <c:crossAx val="67273088"/>
        <c:crosses val="autoZero"/>
        <c:auto val="1"/>
        <c:lblAlgn val="ctr"/>
        <c:lblOffset val="100"/>
      </c:catAx>
      <c:valAx>
        <c:axId val="67273088"/>
        <c:scaling>
          <c:orientation val="minMax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s-ES"/>
                  <a:t>Masa seca de la plántula </a:t>
                </a:r>
                <a:r>
                  <a:rPr lang="es-ES" baseline="0"/>
                  <a:t>( mg)</a:t>
                </a:r>
                <a:endParaRPr lang="es-ES"/>
              </a:p>
            </c:rich>
          </c:tx>
        </c:title>
        <c:numFmt formatCode="0.0" sourceLinked="1"/>
        <c:tickLblPos val="nextTo"/>
        <c:crossAx val="67254912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7.7204286964129482E-2"/>
          <c:y val="0.88850503062117492"/>
          <c:w val="0.84559142607174165"/>
          <c:h val="8.3717191601049998E-2"/>
        </c:manualLayout>
      </c:layout>
    </c:legend>
    <c:plotVisOnly val="1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style val="18"/>
  <c:chart>
    <c:plotArea>
      <c:layout/>
      <c:barChart>
        <c:barDir val="col"/>
        <c:grouping val="clustered"/>
        <c:ser>
          <c:idx val="0"/>
          <c:order val="0"/>
          <c:tx>
            <c:strRef>
              <c:f>'indice de vigor'!$T$10</c:f>
              <c:strCache>
                <c:ptCount val="1"/>
                <c:pt idx="0">
                  <c:v>Control</c:v>
                </c:pt>
              </c:strCache>
            </c:strRef>
          </c:tx>
          <c:dLbls>
            <c:delete val="1"/>
          </c:dLbls>
          <c:errBars>
            <c:errBarType val="both"/>
            <c:errValType val="cust"/>
            <c:plus>
              <c:numRef>
                <c:f>'indice de vigor'!$T$19</c:f>
                <c:numCache>
                  <c:formatCode>General</c:formatCode>
                  <c:ptCount val="1"/>
                  <c:pt idx="0">
                    <c:v>582.08325057415857</c:v>
                  </c:pt>
                </c:numCache>
              </c:numRef>
            </c:plus>
            <c:minus>
              <c:numRef>
                <c:f>'indice de vigor'!$T$19</c:f>
                <c:numCache>
                  <c:formatCode>General</c:formatCode>
                  <c:ptCount val="1"/>
                  <c:pt idx="0">
                    <c:v>582.08325057415857</c:v>
                  </c:pt>
                </c:numCache>
              </c:numRef>
            </c:minus>
          </c:errBars>
          <c:val>
            <c:numRef>
              <c:f>'indice de vigor'!$T$17</c:f>
              <c:numCache>
                <c:formatCode>0.0</c:formatCode>
                <c:ptCount val="1"/>
                <c:pt idx="0">
                  <c:v>19927.777777777777</c:v>
                </c:pt>
              </c:numCache>
            </c:numRef>
          </c:val>
        </c:ser>
        <c:ser>
          <c:idx val="1"/>
          <c:order val="1"/>
          <c:tx>
            <c:strRef>
              <c:f>'indice de vigor'!$U$10</c:f>
              <c:strCache>
                <c:ptCount val="1"/>
                <c:pt idx="0">
                  <c:v>PEG</c:v>
                </c:pt>
              </c:strCache>
            </c:strRef>
          </c:tx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*</a:t>
                    </a:r>
                  </a:p>
                </c:rich>
              </c:tx>
              <c:showVal val="1"/>
            </c:dLbl>
            <c:showVal val="1"/>
          </c:dLbls>
          <c:errBars>
            <c:errBarType val="both"/>
            <c:errValType val="cust"/>
            <c:plus>
              <c:numRef>
                <c:f>'indice de vigor'!$U$19</c:f>
                <c:numCache>
                  <c:formatCode>General</c:formatCode>
                  <c:ptCount val="1"/>
                  <c:pt idx="0">
                    <c:v>399.74679749913332</c:v>
                  </c:pt>
                </c:numCache>
              </c:numRef>
            </c:plus>
            <c:minus>
              <c:numRef>
                <c:f>'indice de vigor'!$U$19</c:f>
                <c:numCache>
                  <c:formatCode>General</c:formatCode>
                  <c:ptCount val="1"/>
                  <c:pt idx="0">
                    <c:v>399.74679749913332</c:v>
                  </c:pt>
                </c:numCache>
              </c:numRef>
            </c:minus>
          </c:errBars>
          <c:val>
            <c:numRef>
              <c:f>'indice de vigor'!$U$17</c:f>
              <c:numCache>
                <c:formatCode>0.0</c:formatCode>
                <c:ptCount val="1"/>
                <c:pt idx="0">
                  <c:v>22240.853333333333</c:v>
                </c:pt>
              </c:numCache>
            </c:numRef>
          </c:val>
        </c:ser>
        <c:ser>
          <c:idx val="2"/>
          <c:order val="2"/>
          <c:tx>
            <c:strRef>
              <c:f>'indice de vigor'!$V$10</c:f>
              <c:strCache>
                <c:ptCount val="1"/>
                <c:pt idx="0">
                  <c:v>PEG + 1,0 E2</c:v>
                </c:pt>
              </c:strCache>
            </c:strRef>
          </c:tx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*</a:t>
                    </a:r>
                  </a:p>
                </c:rich>
              </c:tx>
              <c:showVal val="1"/>
            </c:dLbl>
            <c:showVal val="1"/>
          </c:dLbls>
          <c:errBars>
            <c:errBarType val="both"/>
            <c:errValType val="cust"/>
            <c:plus>
              <c:numRef>
                <c:f>'indice de vigor'!$V$19</c:f>
                <c:numCache>
                  <c:formatCode>General</c:formatCode>
                  <c:ptCount val="1"/>
                  <c:pt idx="0">
                    <c:v>513.98541589527622</c:v>
                  </c:pt>
                </c:numCache>
              </c:numRef>
            </c:plus>
            <c:minus>
              <c:numRef>
                <c:f>'indice de vigor'!$V$19</c:f>
                <c:numCache>
                  <c:formatCode>General</c:formatCode>
                  <c:ptCount val="1"/>
                  <c:pt idx="0">
                    <c:v>513.98541589527622</c:v>
                  </c:pt>
                </c:numCache>
              </c:numRef>
            </c:minus>
          </c:errBars>
          <c:val>
            <c:numRef>
              <c:f>'indice de vigor'!$V$17</c:f>
              <c:numCache>
                <c:formatCode>0.0</c:formatCode>
                <c:ptCount val="1"/>
                <c:pt idx="0">
                  <c:v>20513.999999999996</c:v>
                </c:pt>
              </c:numCache>
            </c:numRef>
          </c:val>
        </c:ser>
        <c:ser>
          <c:idx val="3"/>
          <c:order val="3"/>
          <c:tx>
            <c:strRef>
              <c:f>'indice de vigor'!$W$10</c:f>
              <c:strCache>
                <c:ptCount val="1"/>
                <c:pt idx="0">
                  <c:v>PEG + 0,5 E2</c:v>
                </c:pt>
              </c:strCache>
            </c:strRef>
          </c:tx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*</a:t>
                    </a:r>
                  </a:p>
                </c:rich>
              </c:tx>
              <c:showVal val="1"/>
            </c:dLbl>
            <c:showVal val="1"/>
          </c:dLbls>
          <c:errBars>
            <c:errBarType val="both"/>
            <c:errValType val="cust"/>
            <c:plus>
              <c:numRef>
                <c:f>'indice de vigor'!$W$19</c:f>
                <c:numCache>
                  <c:formatCode>General</c:formatCode>
                  <c:ptCount val="1"/>
                  <c:pt idx="0">
                    <c:v>953.89127855686752</c:v>
                  </c:pt>
                </c:numCache>
              </c:numRef>
            </c:plus>
            <c:minus>
              <c:numRef>
                <c:f>'indice de vigor'!$W$19</c:f>
                <c:numCache>
                  <c:formatCode>General</c:formatCode>
                  <c:ptCount val="1"/>
                  <c:pt idx="0">
                    <c:v>953.89127855686752</c:v>
                  </c:pt>
                </c:numCache>
              </c:numRef>
            </c:minus>
          </c:errBars>
          <c:val>
            <c:numRef>
              <c:f>'indice de vigor'!$W$17</c:f>
              <c:numCache>
                <c:formatCode>0.0</c:formatCode>
                <c:ptCount val="1"/>
                <c:pt idx="0">
                  <c:v>19699.022222222218</c:v>
                </c:pt>
              </c:numCache>
            </c:numRef>
          </c:val>
        </c:ser>
        <c:ser>
          <c:idx val="4"/>
          <c:order val="4"/>
          <c:tx>
            <c:strRef>
              <c:f>'indice de vigor'!$X$10</c:f>
              <c:strCache>
                <c:ptCount val="1"/>
                <c:pt idx="0">
                  <c:v>PEG + 0,1 E2</c:v>
                </c:pt>
              </c:strCache>
            </c:strRef>
          </c:tx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*</a:t>
                    </a:r>
                  </a:p>
                </c:rich>
              </c:tx>
              <c:showVal val="1"/>
            </c:dLbl>
            <c:showVal val="1"/>
          </c:dLbls>
          <c:errBars>
            <c:errBarType val="both"/>
            <c:errValType val="cust"/>
            <c:plus>
              <c:numRef>
                <c:f>'indice de vigor'!$X$19</c:f>
                <c:numCache>
                  <c:formatCode>General</c:formatCode>
                  <c:ptCount val="1"/>
                  <c:pt idx="0">
                    <c:v>710.90231167440697</c:v>
                  </c:pt>
                </c:numCache>
              </c:numRef>
            </c:plus>
            <c:minus>
              <c:numRef>
                <c:f>'indice de vigor'!$X$19</c:f>
                <c:numCache>
                  <c:formatCode>General</c:formatCode>
                  <c:ptCount val="1"/>
                  <c:pt idx="0">
                    <c:v>710.90231167440697</c:v>
                  </c:pt>
                </c:numCache>
              </c:numRef>
            </c:minus>
          </c:errBars>
          <c:val>
            <c:numRef>
              <c:f>'indice de vigor'!$X$17</c:f>
              <c:numCache>
                <c:formatCode>0.0</c:formatCode>
                <c:ptCount val="1"/>
                <c:pt idx="0">
                  <c:v>18983.04444444444</c:v>
                </c:pt>
              </c:numCache>
            </c:numRef>
          </c:val>
        </c:ser>
        <c:dLbls>
          <c:showVal val="1"/>
        </c:dLbls>
        <c:overlap val="-50"/>
        <c:axId val="71322240"/>
        <c:axId val="71348608"/>
      </c:barChart>
      <c:catAx>
        <c:axId val="71322240"/>
        <c:scaling>
          <c:orientation val="minMax"/>
        </c:scaling>
        <c:delete val="1"/>
        <c:axPos val="b"/>
        <c:tickLblPos val="nextTo"/>
        <c:crossAx val="71348608"/>
        <c:crosses val="autoZero"/>
        <c:auto val="1"/>
        <c:lblAlgn val="ctr"/>
        <c:lblOffset val="100"/>
      </c:catAx>
      <c:valAx>
        <c:axId val="71348608"/>
        <c:scaling>
          <c:orientation val="minMax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s-ES"/>
                  <a:t>Indice de vigor </a:t>
                </a:r>
              </a:p>
            </c:rich>
          </c:tx>
        </c:title>
        <c:numFmt formatCode="0" sourceLinked="0"/>
        <c:tickLblPos val="nextTo"/>
        <c:crossAx val="71322240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7.7204286964129482E-2"/>
          <c:y val="0.88850503062117514"/>
          <c:w val="0.84559142607174165"/>
          <c:h val="8.3717191601049998E-2"/>
        </c:manualLayout>
      </c:layout>
    </c:legend>
    <c:plotVisOnly val="1"/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114301</xdr:colOff>
      <xdr:row>34</xdr:row>
      <xdr:rowOff>66676</xdr:rowOff>
    </xdr:from>
    <xdr:to>
      <xdr:col>24</xdr:col>
      <xdr:colOff>447675</xdr:colOff>
      <xdr:row>52</xdr:row>
      <xdr:rowOff>28575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190500</xdr:colOff>
      <xdr:row>10</xdr:row>
      <xdr:rowOff>9525</xdr:rowOff>
    </xdr:from>
    <xdr:to>
      <xdr:col>40</xdr:col>
      <xdr:colOff>495300</xdr:colOff>
      <xdr:row>24</xdr:row>
      <xdr:rowOff>85725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190500</xdr:colOff>
      <xdr:row>8</xdr:row>
      <xdr:rowOff>9525</xdr:rowOff>
    </xdr:from>
    <xdr:to>
      <xdr:col>37</xdr:col>
      <xdr:colOff>495300</xdr:colOff>
      <xdr:row>22</xdr:row>
      <xdr:rowOff>85725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34</xdr:col>
      <xdr:colOff>552450</xdr:colOff>
      <xdr:row>26</xdr:row>
      <xdr:rowOff>66675</xdr:rowOff>
    </xdr:from>
    <xdr:to>
      <xdr:col>42</xdr:col>
      <xdr:colOff>247650</xdr:colOff>
      <xdr:row>40</xdr:row>
      <xdr:rowOff>142875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23</xdr:row>
      <xdr:rowOff>123825</xdr:rowOff>
    </xdr:from>
    <xdr:to>
      <xdr:col>9</xdr:col>
      <xdr:colOff>0</xdr:colOff>
      <xdr:row>38</xdr:row>
      <xdr:rowOff>9525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533400</xdr:colOff>
      <xdr:row>22</xdr:row>
      <xdr:rowOff>180975</xdr:rowOff>
    </xdr:from>
    <xdr:to>
      <xdr:col>18</xdr:col>
      <xdr:colOff>228600</xdr:colOff>
      <xdr:row>37</xdr:row>
      <xdr:rowOff>66675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400050</xdr:colOff>
      <xdr:row>21</xdr:row>
      <xdr:rowOff>28575</xdr:rowOff>
    </xdr:from>
    <xdr:to>
      <xdr:col>29</xdr:col>
      <xdr:colOff>95250</xdr:colOff>
      <xdr:row>35</xdr:row>
      <xdr:rowOff>104775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H170"/>
  <sheetViews>
    <sheetView topLeftCell="A62" zoomScale="130" zoomScaleNormal="130" workbookViewId="0">
      <selection activeCell="B70" sqref="B70:J75"/>
    </sheetView>
  </sheetViews>
  <sheetFormatPr baseColWidth="10" defaultColWidth="9.140625" defaultRowHeight="15"/>
  <cols>
    <col min="13" max="13" width="12.85546875"/>
  </cols>
  <sheetData>
    <row r="1" spans="4:4">
      <c r="D1" t="s">
        <v>0</v>
      </c>
    </row>
    <row r="3" spans="4:4">
      <c r="D3" t="s">
        <v>1</v>
      </c>
    </row>
    <row r="4" spans="4:4">
      <c r="D4" t="s">
        <v>2</v>
      </c>
    </row>
    <row r="5" spans="4:4">
      <c r="D5" t="s">
        <v>3</v>
      </c>
    </row>
    <row r="6" spans="4:4">
      <c r="D6" t="s">
        <v>4</v>
      </c>
    </row>
    <row r="7" spans="4:4">
      <c r="D7" t="s">
        <v>5</v>
      </c>
    </row>
    <row r="8" spans="4:4">
      <c r="D8" t="s">
        <v>6</v>
      </c>
    </row>
    <row r="9" spans="4:4">
      <c r="D9" t="s">
        <v>7</v>
      </c>
    </row>
    <row r="10" spans="4:4">
      <c r="D10" t="s">
        <v>8</v>
      </c>
    </row>
    <row r="11" spans="4:4">
      <c r="D11" t="s">
        <v>9</v>
      </c>
    </row>
    <row r="12" spans="4:4">
      <c r="D12" t="s">
        <v>10</v>
      </c>
    </row>
    <row r="14" spans="4:4">
      <c r="D14" t="s">
        <v>11</v>
      </c>
    </row>
    <row r="15" spans="4:4">
      <c r="D15" t="s">
        <v>12</v>
      </c>
    </row>
    <row r="16" spans="4:4">
      <c r="D16" t="s">
        <v>13</v>
      </c>
    </row>
    <row r="18" spans="2:34">
      <c r="G18" t="s">
        <v>14</v>
      </c>
    </row>
    <row r="19" spans="2:34">
      <c r="E19" t="s">
        <v>15</v>
      </c>
      <c r="P19" t="s">
        <v>16</v>
      </c>
    </row>
    <row r="20" spans="2:34">
      <c r="F20" t="s">
        <v>17</v>
      </c>
      <c r="Q20" t="s">
        <v>17</v>
      </c>
    </row>
    <row r="21" spans="2:34">
      <c r="B21" t="s">
        <v>18</v>
      </c>
      <c r="C21" t="s">
        <v>19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M21" t="s">
        <v>18</v>
      </c>
      <c r="N21" t="s">
        <v>19</v>
      </c>
      <c r="O21" t="s">
        <v>20</v>
      </c>
      <c r="P21" t="s">
        <v>21</v>
      </c>
      <c r="Q21" t="s">
        <v>22</v>
      </c>
      <c r="R21" t="s">
        <v>23</v>
      </c>
      <c r="S21" t="s">
        <v>24</v>
      </c>
      <c r="T21" t="s">
        <v>25</v>
      </c>
      <c r="U21" t="s">
        <v>26</v>
      </c>
      <c r="Z21" t="s">
        <v>18</v>
      </c>
      <c r="AA21" t="s">
        <v>19</v>
      </c>
      <c r="AB21" t="s">
        <v>20</v>
      </c>
      <c r="AC21" t="s">
        <v>21</v>
      </c>
      <c r="AD21" t="s">
        <v>22</v>
      </c>
      <c r="AE21" t="s">
        <v>23</v>
      </c>
      <c r="AF21" t="s">
        <v>24</v>
      </c>
      <c r="AG21" t="s">
        <v>25</v>
      </c>
      <c r="AH21" t="s">
        <v>26</v>
      </c>
    </row>
    <row r="22" spans="2:34">
      <c r="B22">
        <v>3</v>
      </c>
      <c r="C22">
        <v>3</v>
      </c>
      <c r="D22">
        <v>2</v>
      </c>
      <c r="E22">
        <v>4</v>
      </c>
      <c r="F22">
        <v>8</v>
      </c>
      <c r="G22">
        <v>3</v>
      </c>
      <c r="H22">
        <v>2</v>
      </c>
      <c r="I22">
        <v>3</v>
      </c>
      <c r="J22">
        <v>6</v>
      </c>
      <c r="M22">
        <f t="shared" ref="M22:U22" si="0">(B22/20)*100</f>
        <v>15</v>
      </c>
      <c r="N22">
        <f t="shared" si="0"/>
        <v>15</v>
      </c>
      <c r="O22">
        <f t="shared" si="0"/>
        <v>10</v>
      </c>
      <c r="P22">
        <f t="shared" si="0"/>
        <v>20</v>
      </c>
      <c r="Q22">
        <f t="shared" si="0"/>
        <v>40</v>
      </c>
      <c r="R22">
        <f t="shared" si="0"/>
        <v>15</v>
      </c>
      <c r="S22">
        <f t="shared" si="0"/>
        <v>10</v>
      </c>
      <c r="T22">
        <f t="shared" si="0"/>
        <v>15</v>
      </c>
      <c r="U22">
        <f t="shared" si="0"/>
        <v>30</v>
      </c>
      <c r="Y22" t="s">
        <v>17</v>
      </c>
      <c r="Z22">
        <v>19</v>
      </c>
      <c r="AA22">
        <v>22</v>
      </c>
      <c r="AB22">
        <v>25</v>
      </c>
      <c r="AC22">
        <v>15</v>
      </c>
      <c r="AD22">
        <v>34</v>
      </c>
      <c r="AE22">
        <v>26</v>
      </c>
      <c r="AF22">
        <v>12</v>
      </c>
      <c r="AG22">
        <v>20</v>
      </c>
      <c r="AH22">
        <v>27</v>
      </c>
    </row>
    <row r="23" spans="2:34">
      <c r="B23">
        <v>5</v>
      </c>
      <c r="C23">
        <v>5</v>
      </c>
      <c r="D23">
        <v>7</v>
      </c>
      <c r="E23">
        <v>3</v>
      </c>
      <c r="F23">
        <v>5</v>
      </c>
      <c r="G23">
        <v>7</v>
      </c>
      <c r="H23">
        <v>3</v>
      </c>
      <c r="I23">
        <v>4</v>
      </c>
      <c r="J23">
        <v>4</v>
      </c>
      <c r="M23">
        <f t="shared" ref="M23:U23" si="1">(B23/20)*100</f>
        <v>25</v>
      </c>
      <c r="N23">
        <f t="shared" si="1"/>
        <v>25</v>
      </c>
      <c r="O23">
        <f t="shared" si="1"/>
        <v>35</v>
      </c>
      <c r="P23">
        <f t="shared" si="1"/>
        <v>15</v>
      </c>
      <c r="Q23">
        <f t="shared" si="1"/>
        <v>25</v>
      </c>
      <c r="R23">
        <f t="shared" si="1"/>
        <v>35</v>
      </c>
      <c r="S23">
        <f t="shared" si="1"/>
        <v>15</v>
      </c>
      <c r="T23">
        <f t="shared" si="1"/>
        <v>20</v>
      </c>
      <c r="U23">
        <f t="shared" si="1"/>
        <v>20</v>
      </c>
      <c r="Y23" t="s">
        <v>30</v>
      </c>
      <c r="Z23">
        <v>72</v>
      </c>
      <c r="AA23">
        <v>84</v>
      </c>
      <c r="AB23">
        <v>82</v>
      </c>
      <c r="AC23">
        <v>80</v>
      </c>
      <c r="AD23">
        <v>85</v>
      </c>
      <c r="AE23">
        <v>82</v>
      </c>
      <c r="AF23">
        <v>78</v>
      </c>
      <c r="AG23">
        <v>89</v>
      </c>
      <c r="AH23">
        <v>84</v>
      </c>
    </row>
    <row r="24" spans="2:34">
      <c r="B24">
        <v>4</v>
      </c>
      <c r="C24">
        <v>4</v>
      </c>
      <c r="D24">
        <v>6</v>
      </c>
      <c r="E24">
        <v>4</v>
      </c>
      <c r="F24">
        <v>6</v>
      </c>
      <c r="G24">
        <v>7</v>
      </c>
      <c r="H24">
        <v>2</v>
      </c>
      <c r="I24">
        <v>6</v>
      </c>
      <c r="J24">
        <v>1</v>
      </c>
      <c r="M24">
        <f t="shared" ref="M24:U24" si="2">(B24/20)*100</f>
        <v>20</v>
      </c>
      <c r="N24">
        <f t="shared" si="2"/>
        <v>20</v>
      </c>
      <c r="O24">
        <f t="shared" si="2"/>
        <v>30</v>
      </c>
      <c r="P24">
        <f t="shared" si="2"/>
        <v>20</v>
      </c>
      <c r="Q24">
        <f t="shared" si="2"/>
        <v>30</v>
      </c>
      <c r="R24">
        <f t="shared" si="2"/>
        <v>35</v>
      </c>
      <c r="S24">
        <f t="shared" si="2"/>
        <v>10</v>
      </c>
      <c r="T24">
        <f t="shared" si="2"/>
        <v>30</v>
      </c>
      <c r="U24">
        <f t="shared" si="2"/>
        <v>5</v>
      </c>
      <c r="Y24" t="s">
        <v>38</v>
      </c>
      <c r="Z24">
        <v>79</v>
      </c>
      <c r="AA24">
        <v>85</v>
      </c>
      <c r="AB24">
        <v>83</v>
      </c>
      <c r="AC24">
        <v>93</v>
      </c>
      <c r="AD24">
        <v>89</v>
      </c>
      <c r="AE24">
        <v>84</v>
      </c>
      <c r="AF24">
        <v>81</v>
      </c>
      <c r="AG24">
        <v>92</v>
      </c>
      <c r="AH24">
        <v>84</v>
      </c>
    </row>
    <row r="25" spans="2:34">
      <c r="B25">
        <v>3</v>
      </c>
      <c r="C25">
        <v>2</v>
      </c>
      <c r="D25">
        <v>5</v>
      </c>
      <c r="E25">
        <v>2</v>
      </c>
      <c r="F25">
        <v>6</v>
      </c>
      <c r="G25">
        <v>4</v>
      </c>
      <c r="H25">
        <v>3</v>
      </c>
      <c r="I25">
        <v>4</v>
      </c>
      <c r="J25">
        <v>9</v>
      </c>
      <c r="M25">
        <f t="shared" ref="M25:U25" si="3">(B25/20)*100</f>
        <v>15</v>
      </c>
      <c r="N25">
        <f t="shared" si="3"/>
        <v>10</v>
      </c>
      <c r="O25">
        <f t="shared" si="3"/>
        <v>25</v>
      </c>
      <c r="P25">
        <f t="shared" si="3"/>
        <v>10</v>
      </c>
      <c r="Q25">
        <f t="shared" si="3"/>
        <v>30</v>
      </c>
      <c r="R25">
        <f t="shared" si="3"/>
        <v>20</v>
      </c>
      <c r="S25">
        <f t="shared" si="3"/>
        <v>15</v>
      </c>
      <c r="T25">
        <f t="shared" si="3"/>
        <v>20</v>
      </c>
      <c r="U25">
        <f t="shared" si="3"/>
        <v>45</v>
      </c>
      <c r="Y25" t="s">
        <v>32</v>
      </c>
      <c r="Z25">
        <v>86</v>
      </c>
      <c r="AA25">
        <v>91</v>
      </c>
      <c r="AB25">
        <v>90</v>
      </c>
      <c r="AC25">
        <v>96</v>
      </c>
      <c r="AD25">
        <v>92</v>
      </c>
      <c r="AE25">
        <v>87</v>
      </c>
      <c r="AF25">
        <v>87</v>
      </c>
      <c r="AG25">
        <v>92</v>
      </c>
      <c r="AH25">
        <v>89</v>
      </c>
    </row>
    <row r="26" spans="2:34">
      <c r="B26">
        <v>4</v>
      </c>
      <c r="C26">
        <v>8</v>
      </c>
      <c r="D26">
        <v>5</v>
      </c>
      <c r="E26">
        <v>2</v>
      </c>
      <c r="F26">
        <v>9</v>
      </c>
      <c r="G26">
        <v>5</v>
      </c>
      <c r="H26">
        <v>2</v>
      </c>
      <c r="I26">
        <v>3</v>
      </c>
      <c r="J26">
        <v>7</v>
      </c>
      <c r="M26">
        <f t="shared" ref="M26:U26" si="4">(B26/20)*100</f>
        <v>20</v>
      </c>
      <c r="N26">
        <f t="shared" si="4"/>
        <v>40</v>
      </c>
      <c r="O26">
        <f t="shared" si="4"/>
        <v>25</v>
      </c>
      <c r="P26">
        <f t="shared" si="4"/>
        <v>10</v>
      </c>
      <c r="Q26">
        <f t="shared" si="4"/>
        <v>45</v>
      </c>
      <c r="R26">
        <f t="shared" si="4"/>
        <v>25</v>
      </c>
      <c r="S26">
        <f t="shared" si="4"/>
        <v>10</v>
      </c>
      <c r="T26">
        <f t="shared" si="4"/>
        <v>15</v>
      </c>
      <c r="U26">
        <f t="shared" si="4"/>
        <v>35</v>
      </c>
      <c r="Y26" t="s">
        <v>39</v>
      </c>
      <c r="Z26">
        <v>86</v>
      </c>
      <c r="AA26">
        <v>91</v>
      </c>
      <c r="AB26">
        <v>90</v>
      </c>
      <c r="AC26">
        <v>96</v>
      </c>
      <c r="AD26">
        <v>92</v>
      </c>
      <c r="AE26">
        <v>87</v>
      </c>
      <c r="AF26">
        <v>87</v>
      </c>
      <c r="AG26">
        <v>92</v>
      </c>
      <c r="AH26">
        <v>89</v>
      </c>
    </row>
    <row r="27" spans="2:34">
      <c r="L27" t="s">
        <v>27</v>
      </c>
      <c r="M27">
        <f t="shared" ref="M27:U27" si="5">AVERAGE(M22:M26)</f>
        <v>19</v>
      </c>
      <c r="N27">
        <f t="shared" si="5"/>
        <v>22</v>
      </c>
      <c r="O27">
        <f t="shared" si="5"/>
        <v>25</v>
      </c>
      <c r="P27">
        <f t="shared" si="5"/>
        <v>15</v>
      </c>
      <c r="Q27" s="3">
        <f t="shared" si="5"/>
        <v>34</v>
      </c>
      <c r="R27">
        <f t="shared" si="5"/>
        <v>26</v>
      </c>
      <c r="S27">
        <f t="shared" si="5"/>
        <v>12</v>
      </c>
      <c r="T27">
        <f t="shared" si="5"/>
        <v>20</v>
      </c>
      <c r="U27">
        <f t="shared" si="5"/>
        <v>27</v>
      </c>
    </row>
    <row r="28" spans="2:34">
      <c r="L28" t="s">
        <v>28</v>
      </c>
      <c r="M28" s="1">
        <f t="shared" ref="M28:U28" si="6">STDEV(M22:M26)</f>
        <v>4.1833001326703796</v>
      </c>
      <c r="N28" s="1">
        <f t="shared" si="6"/>
        <v>11.5108644332213</v>
      </c>
      <c r="O28" s="1">
        <f t="shared" si="6"/>
        <v>9.3541434669348504</v>
      </c>
      <c r="P28" s="1">
        <f t="shared" si="6"/>
        <v>5</v>
      </c>
      <c r="Q28" s="1">
        <f t="shared" si="6"/>
        <v>8.2158383625774896</v>
      </c>
      <c r="R28" s="1">
        <f t="shared" si="6"/>
        <v>8.9442719099991592</v>
      </c>
      <c r="S28" s="1">
        <f t="shared" si="6"/>
        <v>2.7386127875258302</v>
      </c>
      <c r="T28" s="1">
        <f t="shared" si="6"/>
        <v>6.1237243569579496</v>
      </c>
      <c r="U28" s="1">
        <f t="shared" si="6"/>
        <v>15.247950681976899</v>
      </c>
      <c r="Y28" t="s">
        <v>40</v>
      </c>
    </row>
    <row r="29" spans="2:34">
      <c r="L29" t="s">
        <v>29</v>
      </c>
      <c r="M29" s="1">
        <f t="shared" ref="M29:U29" si="7">CONFIDENCE(0.05,M28,5)</f>
        <v>3.66675686028259</v>
      </c>
      <c r="N29" s="1">
        <f t="shared" si="7"/>
        <v>10.0895321372398</v>
      </c>
      <c r="O29" s="1">
        <f t="shared" si="7"/>
        <v>8.1991175965555705</v>
      </c>
      <c r="P29" s="1">
        <f t="shared" si="7"/>
        <v>4.38261270288291</v>
      </c>
      <c r="Q29" s="1">
        <f t="shared" si="7"/>
        <v>7.2013675145329596</v>
      </c>
      <c r="R29" s="1">
        <f t="shared" si="7"/>
        <v>7.8398559381602198</v>
      </c>
      <c r="S29" s="1">
        <f t="shared" si="7"/>
        <v>2.40045583817765</v>
      </c>
      <c r="T29" s="1">
        <f t="shared" si="7"/>
        <v>5.3675824311514697</v>
      </c>
      <c r="U29" s="1">
        <f t="shared" si="7"/>
        <v>13.3651724703528</v>
      </c>
    </row>
    <row r="30" spans="2:34">
      <c r="Z30" t="s">
        <v>18</v>
      </c>
      <c r="AA30" t="s">
        <v>19</v>
      </c>
      <c r="AB30" t="s">
        <v>20</v>
      </c>
      <c r="AC30" t="s">
        <v>21</v>
      </c>
      <c r="AD30" t="s">
        <v>22</v>
      </c>
      <c r="AE30" t="s">
        <v>23</v>
      </c>
      <c r="AF30" t="s">
        <v>24</v>
      </c>
      <c r="AG30" t="s">
        <v>25</v>
      </c>
      <c r="AH30" t="s">
        <v>26</v>
      </c>
    </row>
    <row r="31" spans="2:34">
      <c r="Y31" t="s">
        <v>17</v>
      </c>
      <c r="Z31">
        <v>3.66675686028259</v>
      </c>
      <c r="AA31">
        <v>10.0895321372398</v>
      </c>
      <c r="AB31">
        <v>8.1991175965555705</v>
      </c>
      <c r="AC31">
        <v>4.38261270288291</v>
      </c>
      <c r="AD31">
        <v>7.2013675145329596</v>
      </c>
      <c r="AE31">
        <v>7.8398559381602198</v>
      </c>
      <c r="AF31">
        <v>2.40045583817765</v>
      </c>
      <c r="AG31">
        <v>5.3675824311514697</v>
      </c>
      <c r="AH31">
        <v>13.3651724703528</v>
      </c>
    </row>
    <row r="32" spans="2:34">
      <c r="F32" t="s">
        <v>30</v>
      </c>
      <c r="Y32" t="s">
        <v>30</v>
      </c>
      <c r="Z32">
        <v>9.0879791287680494</v>
      </c>
      <c r="AA32">
        <v>9.5012779291162701</v>
      </c>
      <c r="AB32">
        <v>7.9614113410533598</v>
      </c>
      <c r="AC32">
        <v>9.7998199227002694</v>
      </c>
      <c r="AD32">
        <v>10.7351648623029</v>
      </c>
      <c r="AE32">
        <v>10.0895321372398</v>
      </c>
      <c r="AF32">
        <v>7.3335137205651799</v>
      </c>
      <c r="AG32">
        <v>1.9599639845400501</v>
      </c>
      <c r="AH32">
        <v>6.5004651393292896</v>
      </c>
    </row>
    <row r="33" spans="2:34">
      <c r="B33" t="s">
        <v>18</v>
      </c>
      <c r="C33" t="s">
        <v>19</v>
      </c>
      <c r="D33" t="s">
        <v>20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Q33" t="s">
        <v>30</v>
      </c>
      <c r="Y33" t="s">
        <v>38</v>
      </c>
      <c r="Z33">
        <v>4.8009116763553097</v>
      </c>
      <c r="AA33">
        <v>8.7652254057658094</v>
      </c>
      <c r="AB33">
        <v>6.6465612490958401</v>
      </c>
      <c r="AC33">
        <v>3.9199279690801099</v>
      </c>
      <c r="AD33">
        <v>10.463344417048599</v>
      </c>
      <c r="AE33">
        <v>9.5012779291162701</v>
      </c>
      <c r="AF33">
        <v>3.66675686028259</v>
      </c>
      <c r="AG33">
        <v>2.40045583817765</v>
      </c>
      <c r="AH33">
        <v>6.5004651393292896</v>
      </c>
    </row>
    <row r="34" spans="2:34">
      <c r="B34">
        <v>12</v>
      </c>
      <c r="C34">
        <v>15</v>
      </c>
      <c r="D34">
        <v>18</v>
      </c>
      <c r="E34">
        <v>19</v>
      </c>
      <c r="F34">
        <v>16</v>
      </c>
      <c r="G34">
        <v>17</v>
      </c>
      <c r="H34">
        <v>16</v>
      </c>
      <c r="I34">
        <v>18</v>
      </c>
      <c r="J34">
        <v>17</v>
      </c>
      <c r="M34">
        <f t="shared" ref="M34:U34" si="8">(B34/20)*100</f>
        <v>60</v>
      </c>
      <c r="N34">
        <f t="shared" si="8"/>
        <v>75</v>
      </c>
      <c r="O34">
        <f t="shared" si="8"/>
        <v>90</v>
      </c>
      <c r="P34">
        <f t="shared" si="8"/>
        <v>95</v>
      </c>
      <c r="Q34">
        <f t="shared" si="8"/>
        <v>80</v>
      </c>
      <c r="R34">
        <f t="shared" si="8"/>
        <v>85</v>
      </c>
      <c r="S34">
        <f t="shared" si="8"/>
        <v>80</v>
      </c>
      <c r="T34">
        <f t="shared" si="8"/>
        <v>90</v>
      </c>
      <c r="U34">
        <f t="shared" si="8"/>
        <v>85</v>
      </c>
      <c r="Y34" t="s">
        <v>32</v>
      </c>
      <c r="Z34">
        <v>5.71422785474119</v>
      </c>
      <c r="AA34">
        <v>5.71422785474119</v>
      </c>
      <c r="AB34">
        <v>5.3675824311514697</v>
      </c>
      <c r="AC34">
        <v>3.66675686028259</v>
      </c>
      <c r="AD34">
        <v>9.0879791287680494</v>
      </c>
      <c r="AE34">
        <v>7.9614113410533598</v>
      </c>
      <c r="AF34">
        <v>4.9969473015543997</v>
      </c>
      <c r="AG34">
        <v>2.40045583817765</v>
      </c>
      <c r="AH34">
        <v>5.71422785474119</v>
      </c>
    </row>
    <row r="35" spans="2:34">
      <c r="B35">
        <v>16</v>
      </c>
      <c r="C35">
        <v>18</v>
      </c>
      <c r="D35">
        <v>14</v>
      </c>
      <c r="E35">
        <v>16</v>
      </c>
      <c r="F35">
        <v>20</v>
      </c>
      <c r="G35">
        <v>16</v>
      </c>
      <c r="H35">
        <v>13</v>
      </c>
      <c r="I35">
        <v>18</v>
      </c>
      <c r="J35">
        <v>17</v>
      </c>
      <c r="M35">
        <f t="shared" ref="M35:U35" si="9">(B35/20)*100</f>
        <v>80</v>
      </c>
      <c r="N35">
        <f t="shared" si="9"/>
        <v>90</v>
      </c>
      <c r="O35">
        <f t="shared" si="9"/>
        <v>70</v>
      </c>
      <c r="P35">
        <f t="shared" si="9"/>
        <v>80</v>
      </c>
      <c r="Q35">
        <f t="shared" si="9"/>
        <v>100</v>
      </c>
      <c r="R35">
        <f t="shared" si="9"/>
        <v>80</v>
      </c>
      <c r="S35">
        <f t="shared" si="9"/>
        <v>65</v>
      </c>
      <c r="T35">
        <f t="shared" si="9"/>
        <v>90</v>
      </c>
      <c r="U35">
        <f t="shared" si="9"/>
        <v>85</v>
      </c>
      <c r="Y35" t="s">
        <v>39</v>
      </c>
      <c r="Z35">
        <v>5.71422785474119</v>
      </c>
      <c r="AA35">
        <v>5.71422785474119</v>
      </c>
      <c r="AB35">
        <v>5.3675824311514697</v>
      </c>
      <c r="AC35">
        <v>3.66675686028259</v>
      </c>
      <c r="AD35">
        <v>9.0879791287680494</v>
      </c>
      <c r="AE35">
        <v>7.9614113410533598</v>
      </c>
      <c r="AF35">
        <v>4.9969473015543997</v>
      </c>
      <c r="AG35">
        <v>2.40045583817765</v>
      </c>
      <c r="AH35">
        <v>5.71422785474119</v>
      </c>
    </row>
    <row r="36" spans="2:34">
      <c r="B36">
        <v>17</v>
      </c>
      <c r="C36">
        <v>15</v>
      </c>
      <c r="D36">
        <v>17</v>
      </c>
      <c r="E36">
        <v>15</v>
      </c>
      <c r="F36">
        <v>16</v>
      </c>
      <c r="G36">
        <v>20</v>
      </c>
      <c r="H36">
        <v>17</v>
      </c>
      <c r="I36">
        <v>18</v>
      </c>
      <c r="J36">
        <v>15</v>
      </c>
      <c r="M36">
        <f t="shared" ref="M36:U36" si="10">(B36/20)*100</f>
        <v>85</v>
      </c>
      <c r="N36">
        <f t="shared" si="10"/>
        <v>75</v>
      </c>
      <c r="O36">
        <f t="shared" si="10"/>
        <v>85</v>
      </c>
      <c r="P36">
        <f t="shared" si="10"/>
        <v>75</v>
      </c>
      <c r="Q36">
        <f t="shared" si="10"/>
        <v>80</v>
      </c>
      <c r="R36">
        <f t="shared" si="10"/>
        <v>100</v>
      </c>
      <c r="S36">
        <f t="shared" si="10"/>
        <v>85</v>
      </c>
      <c r="T36">
        <f t="shared" si="10"/>
        <v>90</v>
      </c>
      <c r="U36">
        <f t="shared" si="10"/>
        <v>75</v>
      </c>
    </row>
    <row r="37" spans="2:34">
      <c r="B37">
        <v>13</v>
      </c>
      <c r="C37">
        <v>16</v>
      </c>
      <c r="D37">
        <v>18</v>
      </c>
      <c r="E37">
        <v>17</v>
      </c>
      <c r="F37">
        <v>14</v>
      </c>
      <c r="G37">
        <v>14</v>
      </c>
      <c r="H37">
        <v>15</v>
      </c>
      <c r="I37">
        <v>17</v>
      </c>
      <c r="J37">
        <v>19</v>
      </c>
      <c r="M37">
        <f t="shared" ref="M37:U37" si="11">(B37/20)*100</f>
        <v>65</v>
      </c>
      <c r="N37">
        <f t="shared" si="11"/>
        <v>80</v>
      </c>
      <c r="O37">
        <f t="shared" si="11"/>
        <v>90</v>
      </c>
      <c r="P37">
        <f t="shared" si="11"/>
        <v>85</v>
      </c>
      <c r="Q37">
        <f t="shared" si="11"/>
        <v>70</v>
      </c>
      <c r="R37">
        <f t="shared" si="11"/>
        <v>70</v>
      </c>
      <c r="S37">
        <f t="shared" si="11"/>
        <v>75</v>
      </c>
      <c r="T37">
        <f t="shared" si="11"/>
        <v>85</v>
      </c>
      <c r="U37">
        <f t="shared" si="11"/>
        <v>95</v>
      </c>
    </row>
    <row r="38" spans="2:34">
      <c r="B38">
        <v>14</v>
      </c>
      <c r="C38">
        <v>20</v>
      </c>
      <c r="D38">
        <v>15</v>
      </c>
      <c r="E38">
        <v>13</v>
      </c>
      <c r="F38">
        <v>19</v>
      </c>
      <c r="G38">
        <v>15</v>
      </c>
      <c r="H38">
        <v>17</v>
      </c>
      <c r="I38">
        <v>18</v>
      </c>
      <c r="J38">
        <v>16</v>
      </c>
      <c r="M38">
        <f t="shared" ref="M38:U38" si="12">(B38/20)*100</f>
        <v>70</v>
      </c>
      <c r="N38">
        <f t="shared" si="12"/>
        <v>100</v>
      </c>
      <c r="O38">
        <f t="shared" si="12"/>
        <v>75</v>
      </c>
      <c r="P38">
        <f t="shared" si="12"/>
        <v>65</v>
      </c>
      <c r="Q38">
        <f t="shared" si="12"/>
        <v>95</v>
      </c>
      <c r="R38">
        <f t="shared" si="12"/>
        <v>75</v>
      </c>
      <c r="S38">
        <f t="shared" si="12"/>
        <v>85</v>
      </c>
      <c r="T38">
        <f t="shared" si="12"/>
        <v>90</v>
      </c>
      <c r="U38">
        <f t="shared" si="12"/>
        <v>80</v>
      </c>
    </row>
    <row r="39" spans="2:34">
      <c r="L39" t="s">
        <v>27</v>
      </c>
      <c r="M39">
        <f t="shared" ref="M39:U39" si="13">AVERAGE(M34:M38)</f>
        <v>72</v>
      </c>
      <c r="N39">
        <f t="shared" si="13"/>
        <v>84</v>
      </c>
      <c r="O39">
        <f t="shared" si="13"/>
        <v>82</v>
      </c>
      <c r="P39">
        <f t="shared" si="13"/>
        <v>80</v>
      </c>
      <c r="Q39">
        <f t="shared" si="13"/>
        <v>85</v>
      </c>
      <c r="R39">
        <f t="shared" si="13"/>
        <v>82</v>
      </c>
      <c r="S39">
        <f t="shared" si="13"/>
        <v>78</v>
      </c>
      <c r="T39" s="3">
        <f t="shared" si="13"/>
        <v>89</v>
      </c>
      <c r="U39">
        <f t="shared" si="13"/>
        <v>84</v>
      </c>
    </row>
    <row r="40" spans="2:34">
      <c r="L40" t="s">
        <v>28</v>
      </c>
      <c r="M40" s="1">
        <f t="shared" ref="M40:U40" si="14">STDEV(M34:M38)</f>
        <v>10.368220676663899</v>
      </c>
      <c r="N40" s="1">
        <f t="shared" si="14"/>
        <v>10.8397416943394</v>
      </c>
      <c r="O40" s="1">
        <f t="shared" si="14"/>
        <v>9.0829510622924694</v>
      </c>
      <c r="P40" s="1">
        <f t="shared" si="14"/>
        <v>11.180339887498899</v>
      </c>
      <c r="Q40" s="1">
        <f t="shared" si="14"/>
        <v>12.247448713915899</v>
      </c>
      <c r="R40" s="1">
        <f t="shared" si="14"/>
        <v>11.5108644332213</v>
      </c>
      <c r="S40" s="1">
        <f t="shared" si="14"/>
        <v>8.3666002653407592</v>
      </c>
      <c r="T40" s="1">
        <f t="shared" si="14"/>
        <v>2.2360679774997898</v>
      </c>
      <c r="U40" s="1">
        <f t="shared" si="14"/>
        <v>7.4161984870956603</v>
      </c>
    </row>
    <row r="41" spans="2:34">
      <c r="L41" t="s">
        <v>29</v>
      </c>
      <c r="M41" s="1">
        <f t="shared" ref="M41:U41" si="15">CONFIDENCE(0.05,M40,5)</f>
        <v>9.0879791287680494</v>
      </c>
      <c r="N41" s="1">
        <f t="shared" si="15"/>
        <v>9.5012779291162701</v>
      </c>
      <c r="O41" s="1">
        <f t="shared" si="15"/>
        <v>7.9614113410533598</v>
      </c>
      <c r="P41" s="1">
        <f t="shared" si="15"/>
        <v>9.7998199227002694</v>
      </c>
      <c r="Q41" s="1">
        <f t="shared" si="15"/>
        <v>10.7351648623029</v>
      </c>
      <c r="R41" s="1">
        <f t="shared" si="15"/>
        <v>10.0895321372398</v>
      </c>
      <c r="S41" s="1">
        <f t="shared" si="15"/>
        <v>7.3335137205651799</v>
      </c>
      <c r="T41" s="1">
        <f t="shared" si="15"/>
        <v>1.9599639845400501</v>
      </c>
      <c r="U41" s="1">
        <f t="shared" si="15"/>
        <v>6.5004651393292896</v>
      </c>
    </row>
    <row r="44" spans="2:34">
      <c r="F44" t="s">
        <v>31</v>
      </c>
    </row>
    <row r="45" spans="2:34">
      <c r="B45" t="s">
        <v>18</v>
      </c>
      <c r="C45" t="s">
        <v>19</v>
      </c>
      <c r="D45" t="s">
        <v>20</v>
      </c>
      <c r="E45" t="s">
        <v>21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Q45" t="s">
        <v>31</v>
      </c>
    </row>
    <row r="46" spans="2:34">
      <c r="B46">
        <v>14</v>
      </c>
      <c r="C46">
        <v>15</v>
      </c>
      <c r="D46">
        <v>18</v>
      </c>
      <c r="E46">
        <v>20</v>
      </c>
      <c r="F46">
        <v>17</v>
      </c>
      <c r="G46">
        <v>17</v>
      </c>
      <c r="H46">
        <v>16</v>
      </c>
      <c r="I46">
        <v>19</v>
      </c>
      <c r="J46">
        <v>17</v>
      </c>
      <c r="M46">
        <f t="shared" ref="M46:U46" si="16">(B46/20)*100</f>
        <v>70</v>
      </c>
      <c r="N46">
        <f t="shared" si="16"/>
        <v>75</v>
      </c>
      <c r="O46">
        <f t="shared" si="16"/>
        <v>90</v>
      </c>
      <c r="P46">
        <f t="shared" si="16"/>
        <v>100</v>
      </c>
      <c r="Q46">
        <f t="shared" si="16"/>
        <v>85</v>
      </c>
      <c r="R46">
        <f t="shared" si="16"/>
        <v>85</v>
      </c>
      <c r="S46">
        <f t="shared" si="16"/>
        <v>80</v>
      </c>
      <c r="T46">
        <f t="shared" si="16"/>
        <v>95</v>
      </c>
      <c r="U46">
        <f t="shared" si="16"/>
        <v>85</v>
      </c>
    </row>
    <row r="47" spans="2:34">
      <c r="B47">
        <v>16</v>
      </c>
      <c r="C47">
        <v>18</v>
      </c>
      <c r="D47">
        <v>15</v>
      </c>
      <c r="E47">
        <v>18</v>
      </c>
      <c r="F47">
        <v>20</v>
      </c>
      <c r="G47">
        <v>17</v>
      </c>
      <c r="H47">
        <v>16</v>
      </c>
      <c r="I47">
        <v>18</v>
      </c>
      <c r="J47">
        <v>17</v>
      </c>
      <c r="M47">
        <f t="shared" ref="M47:U47" si="17">(B47/20)*100</f>
        <v>80</v>
      </c>
      <c r="N47">
        <f t="shared" si="17"/>
        <v>90</v>
      </c>
      <c r="O47">
        <f t="shared" si="17"/>
        <v>75</v>
      </c>
      <c r="P47">
        <f t="shared" si="17"/>
        <v>90</v>
      </c>
      <c r="Q47">
        <f t="shared" si="17"/>
        <v>100</v>
      </c>
      <c r="R47">
        <f t="shared" si="17"/>
        <v>85</v>
      </c>
      <c r="S47">
        <f t="shared" si="17"/>
        <v>80</v>
      </c>
      <c r="T47">
        <f t="shared" si="17"/>
        <v>90</v>
      </c>
      <c r="U47">
        <f t="shared" si="17"/>
        <v>85</v>
      </c>
    </row>
    <row r="48" spans="2:34">
      <c r="B48">
        <v>17</v>
      </c>
      <c r="C48">
        <v>16</v>
      </c>
      <c r="D48">
        <v>15</v>
      </c>
      <c r="E48">
        <v>18</v>
      </c>
      <c r="F48">
        <v>19</v>
      </c>
      <c r="G48">
        <v>20</v>
      </c>
      <c r="H48">
        <v>17</v>
      </c>
      <c r="I48">
        <v>18</v>
      </c>
      <c r="J48">
        <v>15</v>
      </c>
      <c r="M48">
        <f t="shared" ref="M48:U48" si="18">(B48/20)*100</f>
        <v>85</v>
      </c>
      <c r="N48">
        <f t="shared" si="18"/>
        <v>80</v>
      </c>
      <c r="O48">
        <f t="shared" si="18"/>
        <v>75</v>
      </c>
      <c r="P48">
        <f t="shared" si="18"/>
        <v>90</v>
      </c>
      <c r="Q48">
        <f t="shared" si="18"/>
        <v>95</v>
      </c>
      <c r="R48">
        <f t="shared" si="18"/>
        <v>100</v>
      </c>
      <c r="S48">
        <f t="shared" si="18"/>
        <v>85</v>
      </c>
      <c r="T48">
        <f t="shared" si="18"/>
        <v>90</v>
      </c>
      <c r="U48">
        <f t="shared" si="18"/>
        <v>75</v>
      </c>
    </row>
    <row r="49" spans="2:21">
      <c r="B49">
        <v>16</v>
      </c>
      <c r="C49">
        <v>16</v>
      </c>
      <c r="D49">
        <v>18</v>
      </c>
      <c r="E49">
        <v>19</v>
      </c>
      <c r="F49">
        <v>14</v>
      </c>
      <c r="G49">
        <v>14</v>
      </c>
      <c r="H49">
        <v>15</v>
      </c>
      <c r="I49">
        <v>18</v>
      </c>
      <c r="J49">
        <v>19</v>
      </c>
      <c r="M49">
        <f t="shared" ref="M49:U49" si="19">(B49/20)*100</f>
        <v>80</v>
      </c>
      <c r="N49">
        <f t="shared" si="19"/>
        <v>80</v>
      </c>
      <c r="O49">
        <f t="shared" si="19"/>
        <v>90</v>
      </c>
      <c r="P49">
        <f t="shared" si="19"/>
        <v>95</v>
      </c>
      <c r="Q49">
        <f t="shared" si="19"/>
        <v>70</v>
      </c>
      <c r="R49">
        <f t="shared" si="19"/>
        <v>70</v>
      </c>
      <c r="S49">
        <f t="shared" si="19"/>
        <v>75</v>
      </c>
      <c r="T49">
        <f t="shared" si="19"/>
        <v>90</v>
      </c>
      <c r="U49">
        <f t="shared" si="19"/>
        <v>95</v>
      </c>
    </row>
    <row r="50" spans="2:21">
      <c r="B50">
        <v>16</v>
      </c>
      <c r="C50">
        <v>20</v>
      </c>
      <c r="D50">
        <v>17</v>
      </c>
      <c r="E50">
        <v>18</v>
      </c>
      <c r="F50">
        <v>19</v>
      </c>
      <c r="G50">
        <v>16</v>
      </c>
      <c r="H50">
        <v>17</v>
      </c>
      <c r="I50">
        <v>19</v>
      </c>
      <c r="J50">
        <v>16</v>
      </c>
      <c r="M50">
        <f t="shared" ref="M50:U50" si="20">(B50/20)*100</f>
        <v>80</v>
      </c>
      <c r="N50">
        <f t="shared" si="20"/>
        <v>100</v>
      </c>
      <c r="O50">
        <f t="shared" si="20"/>
        <v>85</v>
      </c>
      <c r="P50">
        <f t="shared" si="20"/>
        <v>90</v>
      </c>
      <c r="Q50">
        <f t="shared" si="20"/>
        <v>95</v>
      </c>
      <c r="R50">
        <f t="shared" si="20"/>
        <v>80</v>
      </c>
      <c r="S50">
        <f t="shared" si="20"/>
        <v>85</v>
      </c>
      <c r="T50">
        <f t="shared" si="20"/>
        <v>95</v>
      </c>
      <c r="U50">
        <f t="shared" si="20"/>
        <v>80</v>
      </c>
    </row>
    <row r="51" spans="2:21">
      <c r="L51" t="s">
        <v>27</v>
      </c>
      <c r="M51">
        <f t="shared" ref="M51:U51" si="21">AVERAGE(M46:M50)</f>
        <v>79</v>
      </c>
      <c r="N51">
        <f t="shared" si="21"/>
        <v>85</v>
      </c>
      <c r="O51">
        <f t="shared" si="21"/>
        <v>83</v>
      </c>
      <c r="P51" s="3">
        <f t="shared" si="21"/>
        <v>93</v>
      </c>
      <c r="Q51">
        <f t="shared" si="21"/>
        <v>89</v>
      </c>
      <c r="R51">
        <f t="shared" si="21"/>
        <v>84</v>
      </c>
      <c r="S51">
        <f t="shared" si="21"/>
        <v>81</v>
      </c>
      <c r="T51" s="3">
        <f t="shared" si="21"/>
        <v>92</v>
      </c>
      <c r="U51">
        <f t="shared" si="21"/>
        <v>84</v>
      </c>
    </row>
    <row r="52" spans="2:21">
      <c r="L52" t="s">
        <v>28</v>
      </c>
      <c r="M52" s="1">
        <f t="shared" ref="M52:U52" si="22">STDEV(M46:M50)</f>
        <v>5.4772255750516603</v>
      </c>
      <c r="N52" s="1">
        <f t="shared" si="22"/>
        <v>10</v>
      </c>
      <c r="O52" s="1">
        <f t="shared" si="22"/>
        <v>7.5828754440515498</v>
      </c>
      <c r="P52" s="1">
        <f t="shared" si="22"/>
        <v>4.4721359549995796</v>
      </c>
      <c r="Q52" s="1">
        <f t="shared" si="22"/>
        <v>11.9373363863133</v>
      </c>
      <c r="R52" s="1">
        <f t="shared" si="22"/>
        <v>10.8397416943394</v>
      </c>
      <c r="S52" s="1">
        <f t="shared" si="22"/>
        <v>4.1833001326703796</v>
      </c>
      <c r="T52" s="1">
        <f t="shared" si="22"/>
        <v>2.7386127875258302</v>
      </c>
      <c r="U52" s="1">
        <f t="shared" si="22"/>
        <v>7.4161984870956603</v>
      </c>
    </row>
    <row r="53" spans="2:21">
      <c r="L53" t="s">
        <v>29</v>
      </c>
      <c r="M53" s="1">
        <f t="shared" ref="M53:U53" si="23">CONFIDENCE(0.05,M52,5)</f>
        <v>4.8009116763553097</v>
      </c>
      <c r="N53" s="1">
        <f t="shared" si="23"/>
        <v>8.7652254057658094</v>
      </c>
      <c r="O53" s="1">
        <f t="shared" si="23"/>
        <v>6.6465612490958401</v>
      </c>
      <c r="P53" s="1">
        <f t="shared" si="23"/>
        <v>3.9199279690801099</v>
      </c>
      <c r="Q53" s="1">
        <f t="shared" si="23"/>
        <v>10.463344417048599</v>
      </c>
      <c r="R53" s="1">
        <f t="shared" si="23"/>
        <v>9.5012779291162701</v>
      </c>
      <c r="S53" s="1">
        <f t="shared" si="23"/>
        <v>3.66675686028259</v>
      </c>
      <c r="T53" s="1">
        <f t="shared" si="23"/>
        <v>2.40045583817765</v>
      </c>
      <c r="U53" s="1">
        <f t="shared" si="23"/>
        <v>6.5004651393292896</v>
      </c>
    </row>
    <row r="56" spans="2:21">
      <c r="F56" t="s">
        <v>32</v>
      </c>
    </row>
    <row r="57" spans="2:21">
      <c r="B57" t="s">
        <v>18</v>
      </c>
      <c r="C57" t="s">
        <v>19</v>
      </c>
      <c r="D57" t="s">
        <v>20</v>
      </c>
      <c r="E57" t="s">
        <v>21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Q57" t="s">
        <v>32</v>
      </c>
    </row>
    <row r="58" spans="2:21">
      <c r="B58">
        <v>15</v>
      </c>
      <c r="C58">
        <v>17</v>
      </c>
      <c r="D58">
        <v>18</v>
      </c>
      <c r="E58">
        <v>20</v>
      </c>
      <c r="F58">
        <v>18</v>
      </c>
      <c r="G58">
        <v>17</v>
      </c>
      <c r="H58">
        <v>17</v>
      </c>
      <c r="I58">
        <v>19</v>
      </c>
      <c r="J58">
        <v>18</v>
      </c>
      <c r="M58">
        <f t="shared" ref="M58:U58" si="24">(B58/20)*100</f>
        <v>75</v>
      </c>
      <c r="N58">
        <f t="shared" si="24"/>
        <v>85</v>
      </c>
      <c r="O58">
        <f t="shared" si="24"/>
        <v>90</v>
      </c>
      <c r="P58">
        <f t="shared" si="24"/>
        <v>100</v>
      </c>
      <c r="Q58">
        <f t="shared" si="24"/>
        <v>90</v>
      </c>
      <c r="R58">
        <f t="shared" si="24"/>
        <v>85</v>
      </c>
      <c r="S58">
        <f t="shared" si="24"/>
        <v>85</v>
      </c>
      <c r="T58">
        <f t="shared" si="24"/>
        <v>95</v>
      </c>
      <c r="U58">
        <f t="shared" si="24"/>
        <v>90</v>
      </c>
    </row>
    <row r="59" spans="2:21">
      <c r="B59">
        <v>17</v>
      </c>
      <c r="C59">
        <v>19</v>
      </c>
      <c r="D59">
        <v>16</v>
      </c>
      <c r="E59">
        <v>20</v>
      </c>
      <c r="F59">
        <v>20</v>
      </c>
      <c r="G59">
        <v>17</v>
      </c>
      <c r="H59">
        <v>17</v>
      </c>
      <c r="I59">
        <v>18</v>
      </c>
      <c r="J59">
        <v>17</v>
      </c>
      <c r="M59">
        <f t="shared" ref="M59:U59" si="25">(B59/20)*100</f>
        <v>85</v>
      </c>
      <c r="N59">
        <f t="shared" si="25"/>
        <v>95</v>
      </c>
      <c r="O59">
        <f t="shared" si="25"/>
        <v>80</v>
      </c>
      <c r="P59">
        <f t="shared" si="25"/>
        <v>100</v>
      </c>
      <c r="Q59">
        <f t="shared" si="25"/>
        <v>100</v>
      </c>
      <c r="R59">
        <f t="shared" si="25"/>
        <v>85</v>
      </c>
      <c r="S59">
        <f t="shared" si="25"/>
        <v>85</v>
      </c>
      <c r="T59">
        <f t="shared" si="25"/>
        <v>90</v>
      </c>
      <c r="U59">
        <f t="shared" si="25"/>
        <v>85</v>
      </c>
    </row>
    <row r="60" spans="2:21">
      <c r="B60">
        <v>18</v>
      </c>
      <c r="C60">
        <v>18</v>
      </c>
      <c r="D60">
        <v>19</v>
      </c>
      <c r="E60">
        <v>19</v>
      </c>
      <c r="F60">
        <v>19</v>
      </c>
      <c r="G60">
        <v>20</v>
      </c>
      <c r="H60">
        <v>18</v>
      </c>
      <c r="I60">
        <v>18</v>
      </c>
      <c r="J60">
        <v>16</v>
      </c>
      <c r="M60">
        <f t="shared" ref="M60:U60" si="26">(B60/20)*100</f>
        <v>90</v>
      </c>
      <c r="N60">
        <f t="shared" si="26"/>
        <v>90</v>
      </c>
      <c r="O60">
        <f t="shared" si="26"/>
        <v>95</v>
      </c>
      <c r="P60">
        <f t="shared" si="26"/>
        <v>95</v>
      </c>
      <c r="Q60">
        <f t="shared" si="26"/>
        <v>95</v>
      </c>
      <c r="R60">
        <f t="shared" si="26"/>
        <v>100</v>
      </c>
      <c r="S60">
        <f t="shared" si="26"/>
        <v>90</v>
      </c>
      <c r="T60">
        <f t="shared" si="26"/>
        <v>90</v>
      </c>
      <c r="U60">
        <f t="shared" si="26"/>
        <v>80</v>
      </c>
    </row>
    <row r="61" spans="2:21">
      <c r="B61">
        <v>18</v>
      </c>
      <c r="C61">
        <v>17</v>
      </c>
      <c r="D61">
        <v>18</v>
      </c>
      <c r="E61">
        <v>19</v>
      </c>
      <c r="F61">
        <v>15</v>
      </c>
      <c r="G61">
        <v>15</v>
      </c>
      <c r="H61">
        <v>16</v>
      </c>
      <c r="I61">
        <v>18</v>
      </c>
      <c r="J61">
        <v>19</v>
      </c>
      <c r="M61">
        <f t="shared" ref="M61:U61" si="27">(B61/20)*100</f>
        <v>90</v>
      </c>
      <c r="N61">
        <f t="shared" si="27"/>
        <v>85</v>
      </c>
      <c r="O61">
        <f t="shared" si="27"/>
        <v>90</v>
      </c>
      <c r="P61">
        <f t="shared" si="27"/>
        <v>95</v>
      </c>
      <c r="Q61">
        <f t="shared" si="27"/>
        <v>75</v>
      </c>
      <c r="R61">
        <f t="shared" si="27"/>
        <v>75</v>
      </c>
      <c r="S61">
        <f t="shared" si="27"/>
        <v>80</v>
      </c>
      <c r="T61">
        <f t="shared" si="27"/>
        <v>90</v>
      </c>
      <c r="U61">
        <f t="shared" si="27"/>
        <v>95</v>
      </c>
    </row>
    <row r="62" spans="2:21">
      <c r="B62">
        <v>18</v>
      </c>
      <c r="C62">
        <v>20</v>
      </c>
      <c r="D62">
        <v>19</v>
      </c>
      <c r="E62">
        <v>18</v>
      </c>
      <c r="F62">
        <v>20</v>
      </c>
      <c r="G62">
        <v>18</v>
      </c>
      <c r="H62">
        <v>19</v>
      </c>
      <c r="I62">
        <v>19</v>
      </c>
      <c r="J62">
        <v>19</v>
      </c>
      <c r="M62">
        <f t="shared" ref="M62:U62" si="28">(B62/20)*100</f>
        <v>90</v>
      </c>
      <c r="N62">
        <f t="shared" si="28"/>
        <v>100</v>
      </c>
      <c r="O62">
        <f t="shared" si="28"/>
        <v>95</v>
      </c>
      <c r="P62">
        <f t="shared" si="28"/>
        <v>90</v>
      </c>
      <c r="Q62">
        <f t="shared" si="28"/>
        <v>100</v>
      </c>
      <c r="R62">
        <f t="shared" si="28"/>
        <v>90</v>
      </c>
      <c r="S62">
        <f t="shared" si="28"/>
        <v>95</v>
      </c>
      <c r="T62">
        <f t="shared" si="28"/>
        <v>95</v>
      </c>
      <c r="U62">
        <f t="shared" si="28"/>
        <v>95</v>
      </c>
    </row>
    <row r="63" spans="2:21">
      <c r="L63" t="s">
        <v>27</v>
      </c>
      <c r="M63">
        <f t="shared" ref="M63:U63" si="29">AVERAGE(M58:M62)</f>
        <v>86</v>
      </c>
      <c r="N63">
        <f t="shared" si="29"/>
        <v>91</v>
      </c>
      <c r="O63">
        <f t="shared" si="29"/>
        <v>90</v>
      </c>
      <c r="P63" s="3">
        <f t="shared" si="29"/>
        <v>96</v>
      </c>
      <c r="Q63">
        <f t="shared" si="29"/>
        <v>92</v>
      </c>
      <c r="R63">
        <f t="shared" si="29"/>
        <v>87</v>
      </c>
      <c r="S63">
        <f t="shared" si="29"/>
        <v>87</v>
      </c>
      <c r="T63">
        <f t="shared" si="29"/>
        <v>92</v>
      </c>
      <c r="U63">
        <f t="shared" si="29"/>
        <v>89</v>
      </c>
    </row>
    <row r="64" spans="2:21">
      <c r="L64" t="s">
        <v>28</v>
      </c>
      <c r="M64" s="1">
        <f t="shared" ref="M64:U64" si="30">STDEV(M58:M62)</f>
        <v>6.51920240520265</v>
      </c>
      <c r="N64" s="1">
        <f t="shared" si="30"/>
        <v>6.51920240520265</v>
      </c>
      <c r="O64" s="1">
        <f t="shared" si="30"/>
        <v>6.1237243569579496</v>
      </c>
      <c r="P64" s="1">
        <f t="shared" si="30"/>
        <v>4.1833001326703796</v>
      </c>
      <c r="Q64" s="1">
        <f t="shared" si="30"/>
        <v>10.368220676663899</v>
      </c>
      <c r="R64" s="1">
        <f t="shared" si="30"/>
        <v>9.0829510622924694</v>
      </c>
      <c r="S64" s="1">
        <f t="shared" si="30"/>
        <v>5.7008771254956896</v>
      </c>
      <c r="T64" s="1">
        <f t="shared" si="30"/>
        <v>2.7386127875258302</v>
      </c>
      <c r="U64" s="1">
        <f t="shared" si="30"/>
        <v>6.51920240520265</v>
      </c>
    </row>
    <row r="65" spans="2:21">
      <c r="L65" t="s">
        <v>29</v>
      </c>
      <c r="M65" s="1">
        <f t="shared" ref="M65:U65" si="31">CONFIDENCE(0.05,M64,5)</f>
        <v>5.71422785474119</v>
      </c>
      <c r="N65" s="1">
        <f t="shared" si="31"/>
        <v>5.71422785474119</v>
      </c>
      <c r="O65" s="1">
        <f t="shared" si="31"/>
        <v>5.3675824311514697</v>
      </c>
      <c r="P65" s="1">
        <f t="shared" si="31"/>
        <v>3.66675686028259</v>
      </c>
      <c r="Q65" s="1">
        <f t="shared" si="31"/>
        <v>9.0879791287680494</v>
      </c>
      <c r="R65" s="1">
        <f t="shared" si="31"/>
        <v>7.9614113410533598</v>
      </c>
      <c r="S65" s="1">
        <f t="shared" si="31"/>
        <v>4.9969473015543997</v>
      </c>
      <c r="T65" s="1">
        <f t="shared" si="31"/>
        <v>2.40045583817765</v>
      </c>
      <c r="U65" s="1">
        <f t="shared" si="31"/>
        <v>5.71422785474119</v>
      </c>
    </row>
    <row r="68" spans="2:21">
      <c r="F68" t="s">
        <v>33</v>
      </c>
    </row>
    <row r="69" spans="2:21">
      <c r="B69" t="s">
        <v>18</v>
      </c>
      <c r="C69" t="s">
        <v>19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Q69" t="s">
        <v>33</v>
      </c>
    </row>
    <row r="70" spans="2:21">
      <c r="B70">
        <v>15</v>
      </c>
      <c r="C70">
        <v>17</v>
      </c>
      <c r="D70">
        <v>18</v>
      </c>
      <c r="E70">
        <v>20</v>
      </c>
      <c r="F70">
        <v>18</v>
      </c>
      <c r="G70">
        <v>17</v>
      </c>
      <c r="H70">
        <v>17</v>
      </c>
      <c r="I70">
        <v>19</v>
      </c>
      <c r="J70">
        <v>18</v>
      </c>
      <c r="M70">
        <f t="shared" ref="M70:U70" si="32">(B70/20)*100</f>
        <v>75</v>
      </c>
      <c r="N70">
        <f t="shared" si="32"/>
        <v>85</v>
      </c>
      <c r="O70">
        <f t="shared" si="32"/>
        <v>90</v>
      </c>
      <c r="P70">
        <f t="shared" si="32"/>
        <v>100</v>
      </c>
      <c r="Q70">
        <f t="shared" si="32"/>
        <v>90</v>
      </c>
      <c r="R70">
        <f t="shared" si="32"/>
        <v>85</v>
      </c>
      <c r="S70">
        <f t="shared" si="32"/>
        <v>85</v>
      </c>
      <c r="T70">
        <f t="shared" si="32"/>
        <v>95</v>
      </c>
      <c r="U70">
        <f t="shared" si="32"/>
        <v>90</v>
      </c>
    </row>
    <row r="71" spans="2:21">
      <c r="B71">
        <v>17</v>
      </c>
      <c r="C71">
        <v>19</v>
      </c>
      <c r="D71">
        <v>16</v>
      </c>
      <c r="E71">
        <v>20</v>
      </c>
      <c r="F71">
        <v>20</v>
      </c>
      <c r="G71">
        <v>17</v>
      </c>
      <c r="H71">
        <v>17</v>
      </c>
      <c r="I71">
        <v>18</v>
      </c>
      <c r="J71">
        <v>17</v>
      </c>
      <c r="M71">
        <f t="shared" ref="M71:U71" si="33">(B71/20)*100</f>
        <v>85</v>
      </c>
      <c r="N71">
        <f t="shared" si="33"/>
        <v>95</v>
      </c>
      <c r="O71">
        <f t="shared" si="33"/>
        <v>80</v>
      </c>
      <c r="P71">
        <f t="shared" si="33"/>
        <v>100</v>
      </c>
      <c r="Q71">
        <f t="shared" si="33"/>
        <v>100</v>
      </c>
      <c r="R71">
        <f t="shared" si="33"/>
        <v>85</v>
      </c>
      <c r="S71">
        <f t="shared" si="33"/>
        <v>85</v>
      </c>
      <c r="T71">
        <f t="shared" si="33"/>
        <v>90</v>
      </c>
      <c r="U71">
        <f t="shared" si="33"/>
        <v>85</v>
      </c>
    </row>
    <row r="72" spans="2:21">
      <c r="B72">
        <v>18</v>
      </c>
      <c r="C72">
        <v>18</v>
      </c>
      <c r="D72">
        <v>19</v>
      </c>
      <c r="E72">
        <v>19</v>
      </c>
      <c r="F72">
        <v>19</v>
      </c>
      <c r="G72">
        <v>20</v>
      </c>
      <c r="H72">
        <v>18</v>
      </c>
      <c r="I72">
        <v>18</v>
      </c>
      <c r="J72">
        <v>16</v>
      </c>
      <c r="M72">
        <f t="shared" ref="M72:U72" si="34">(B72/20)*100</f>
        <v>90</v>
      </c>
      <c r="N72">
        <f t="shared" si="34"/>
        <v>90</v>
      </c>
      <c r="O72">
        <f t="shared" si="34"/>
        <v>95</v>
      </c>
      <c r="P72">
        <f t="shared" si="34"/>
        <v>95</v>
      </c>
      <c r="Q72">
        <f t="shared" si="34"/>
        <v>95</v>
      </c>
      <c r="R72">
        <f t="shared" si="34"/>
        <v>100</v>
      </c>
      <c r="S72">
        <f t="shared" si="34"/>
        <v>90</v>
      </c>
      <c r="T72">
        <f t="shared" si="34"/>
        <v>90</v>
      </c>
      <c r="U72">
        <f t="shared" si="34"/>
        <v>80</v>
      </c>
    </row>
    <row r="73" spans="2:21">
      <c r="B73">
        <v>18</v>
      </c>
      <c r="C73">
        <v>17</v>
      </c>
      <c r="D73">
        <v>18</v>
      </c>
      <c r="E73">
        <v>19</v>
      </c>
      <c r="F73">
        <v>15</v>
      </c>
      <c r="G73">
        <v>15</v>
      </c>
      <c r="H73">
        <v>16</v>
      </c>
      <c r="I73">
        <v>18</v>
      </c>
      <c r="J73">
        <v>19</v>
      </c>
      <c r="M73">
        <f t="shared" ref="M73:U73" si="35">(B73/20)*100</f>
        <v>90</v>
      </c>
      <c r="N73">
        <f t="shared" si="35"/>
        <v>85</v>
      </c>
      <c r="O73">
        <f t="shared" si="35"/>
        <v>90</v>
      </c>
      <c r="P73">
        <f t="shared" si="35"/>
        <v>95</v>
      </c>
      <c r="Q73">
        <f t="shared" si="35"/>
        <v>75</v>
      </c>
      <c r="R73">
        <f t="shared" si="35"/>
        <v>75</v>
      </c>
      <c r="S73">
        <f t="shared" si="35"/>
        <v>80</v>
      </c>
      <c r="T73">
        <f t="shared" si="35"/>
        <v>90</v>
      </c>
      <c r="U73">
        <f t="shared" si="35"/>
        <v>95</v>
      </c>
    </row>
    <row r="74" spans="2:21">
      <c r="B74">
        <v>18</v>
      </c>
      <c r="C74">
        <v>20</v>
      </c>
      <c r="D74">
        <v>19</v>
      </c>
      <c r="E74">
        <v>18</v>
      </c>
      <c r="F74">
        <v>20</v>
      </c>
      <c r="G74">
        <v>18</v>
      </c>
      <c r="H74">
        <v>19</v>
      </c>
      <c r="I74">
        <v>19</v>
      </c>
      <c r="J74">
        <v>19</v>
      </c>
      <c r="M74">
        <f t="shared" ref="M74:U74" si="36">(B74/20)*100</f>
        <v>90</v>
      </c>
      <c r="N74">
        <f t="shared" si="36"/>
        <v>100</v>
      </c>
      <c r="O74">
        <f t="shared" si="36"/>
        <v>95</v>
      </c>
      <c r="P74">
        <f t="shared" si="36"/>
        <v>90</v>
      </c>
      <c r="Q74">
        <f t="shared" si="36"/>
        <v>100</v>
      </c>
      <c r="R74">
        <f t="shared" si="36"/>
        <v>90</v>
      </c>
      <c r="S74">
        <f t="shared" si="36"/>
        <v>95</v>
      </c>
      <c r="T74">
        <f t="shared" si="36"/>
        <v>95</v>
      </c>
      <c r="U74">
        <f t="shared" si="36"/>
        <v>95</v>
      </c>
    </row>
    <row r="75" spans="2:21">
      <c r="L75" t="s">
        <v>27</v>
      </c>
      <c r="M75">
        <f t="shared" ref="M75:U75" si="37">AVERAGE(M70:M74)</f>
        <v>86</v>
      </c>
      <c r="N75">
        <f t="shared" si="37"/>
        <v>91</v>
      </c>
      <c r="O75">
        <f t="shared" si="37"/>
        <v>90</v>
      </c>
      <c r="P75" s="3">
        <f t="shared" si="37"/>
        <v>96</v>
      </c>
      <c r="Q75">
        <f t="shared" si="37"/>
        <v>92</v>
      </c>
      <c r="R75">
        <f t="shared" si="37"/>
        <v>87</v>
      </c>
      <c r="S75">
        <f t="shared" si="37"/>
        <v>87</v>
      </c>
      <c r="T75">
        <f t="shared" si="37"/>
        <v>92</v>
      </c>
      <c r="U75">
        <f t="shared" si="37"/>
        <v>89</v>
      </c>
    </row>
    <row r="76" spans="2:21">
      <c r="L76" t="s">
        <v>28</v>
      </c>
      <c r="M76" s="1">
        <f t="shared" ref="M76:U76" si="38">STDEV(M70:M74)</f>
        <v>6.51920240520265</v>
      </c>
      <c r="N76" s="1">
        <f t="shared" si="38"/>
        <v>6.51920240520265</v>
      </c>
      <c r="O76" s="1">
        <f t="shared" si="38"/>
        <v>6.1237243569579496</v>
      </c>
      <c r="P76" s="1">
        <f t="shared" si="38"/>
        <v>4.1833001326703796</v>
      </c>
      <c r="Q76" s="1">
        <f t="shared" si="38"/>
        <v>10.368220676663899</v>
      </c>
      <c r="R76" s="1">
        <f t="shared" si="38"/>
        <v>9.0829510622924694</v>
      </c>
      <c r="S76" s="1">
        <f t="shared" si="38"/>
        <v>5.7008771254956896</v>
      </c>
      <c r="T76" s="1">
        <f t="shared" si="38"/>
        <v>2.7386127875258302</v>
      </c>
      <c r="U76" s="1">
        <f t="shared" si="38"/>
        <v>6.51920240520265</v>
      </c>
    </row>
    <row r="77" spans="2:21">
      <c r="L77" t="s">
        <v>29</v>
      </c>
      <c r="M77" s="1">
        <f t="shared" ref="M77:U77" si="39">CONFIDENCE(0.05,M76,5)</f>
        <v>5.71422785474119</v>
      </c>
      <c r="N77" s="1">
        <f t="shared" si="39"/>
        <v>5.71422785474119</v>
      </c>
      <c r="O77" s="1">
        <f t="shared" si="39"/>
        <v>5.3675824311514697</v>
      </c>
      <c r="P77" s="1">
        <f t="shared" si="39"/>
        <v>3.66675686028259</v>
      </c>
      <c r="Q77" s="1">
        <f t="shared" si="39"/>
        <v>9.0879791287680494</v>
      </c>
      <c r="R77" s="1">
        <f t="shared" si="39"/>
        <v>7.9614113410533598</v>
      </c>
      <c r="S77" s="1">
        <f t="shared" si="39"/>
        <v>4.9969473015543997</v>
      </c>
      <c r="T77" s="1">
        <f t="shared" si="39"/>
        <v>2.40045583817765</v>
      </c>
      <c r="U77" s="1">
        <f t="shared" si="39"/>
        <v>5.71422785474119</v>
      </c>
    </row>
    <row r="80" spans="2:21">
      <c r="F80" t="s">
        <v>34</v>
      </c>
      <c r="Q80" t="s">
        <v>35</v>
      </c>
    </row>
    <row r="81" spans="2:21">
      <c r="B81" t="s">
        <v>18</v>
      </c>
      <c r="C81" t="s">
        <v>19</v>
      </c>
      <c r="D81" t="s">
        <v>20</v>
      </c>
      <c r="E81" t="s">
        <v>21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M81" t="s">
        <v>18</v>
      </c>
      <c r="N81" t="s">
        <v>19</v>
      </c>
      <c r="O81" t="s">
        <v>20</v>
      </c>
      <c r="P81" t="s">
        <v>21</v>
      </c>
      <c r="Q81" t="s">
        <v>22</v>
      </c>
      <c r="R81" t="s">
        <v>23</v>
      </c>
      <c r="S81" t="s">
        <v>24</v>
      </c>
      <c r="T81" t="s">
        <v>25</v>
      </c>
      <c r="U81" t="s">
        <v>26</v>
      </c>
    </row>
    <row r="82" spans="2:21">
      <c r="B82">
        <v>14.9</v>
      </c>
      <c r="C82">
        <v>17.8</v>
      </c>
      <c r="D82">
        <v>19.3</v>
      </c>
      <c r="E82">
        <v>15.7</v>
      </c>
      <c r="F82">
        <v>18.899999999999999</v>
      </c>
      <c r="G82">
        <v>15.8</v>
      </c>
      <c r="H82">
        <v>17</v>
      </c>
      <c r="I82">
        <v>16.8</v>
      </c>
      <c r="J82">
        <v>18.3</v>
      </c>
      <c r="M82">
        <f t="shared" ref="M82:M91" si="40">B82/5</f>
        <v>2.98</v>
      </c>
      <c r="N82">
        <f t="shared" ref="N82:U82" si="41">C82/5</f>
        <v>3.56</v>
      </c>
      <c r="O82">
        <f t="shared" si="41"/>
        <v>3.86</v>
      </c>
      <c r="P82">
        <f t="shared" si="41"/>
        <v>3.14</v>
      </c>
      <c r="Q82">
        <f t="shared" si="41"/>
        <v>3.78</v>
      </c>
      <c r="R82">
        <f t="shared" si="41"/>
        <v>3.16</v>
      </c>
      <c r="S82">
        <f t="shared" si="41"/>
        <v>3.4</v>
      </c>
      <c r="T82">
        <f t="shared" si="41"/>
        <v>3.36</v>
      </c>
      <c r="U82">
        <f t="shared" si="41"/>
        <v>3.66</v>
      </c>
    </row>
    <row r="83" spans="2:21">
      <c r="B83">
        <v>14.5</v>
      </c>
      <c r="C83">
        <v>16</v>
      </c>
      <c r="D83">
        <v>21</v>
      </c>
      <c r="E83">
        <v>17.8</v>
      </c>
      <c r="F83">
        <v>16.399999999999999</v>
      </c>
      <c r="G83">
        <v>17.100000000000001</v>
      </c>
      <c r="H83">
        <v>16.399999999999999</v>
      </c>
      <c r="I83">
        <v>15.4</v>
      </c>
      <c r="J83">
        <v>17.600000000000001</v>
      </c>
      <c r="M83">
        <f t="shared" si="40"/>
        <v>2.9</v>
      </c>
      <c r="N83">
        <f t="shared" ref="N83:U83" si="42">C83/5</f>
        <v>3.2</v>
      </c>
      <c r="O83">
        <f t="shared" si="42"/>
        <v>4.2</v>
      </c>
      <c r="P83">
        <f t="shared" si="42"/>
        <v>3.56</v>
      </c>
      <c r="Q83">
        <f t="shared" si="42"/>
        <v>3.28</v>
      </c>
      <c r="R83">
        <f t="shared" si="42"/>
        <v>3.42</v>
      </c>
      <c r="S83">
        <f t="shared" si="42"/>
        <v>3.28</v>
      </c>
      <c r="T83">
        <f t="shared" si="42"/>
        <v>3.08</v>
      </c>
      <c r="U83">
        <f t="shared" si="42"/>
        <v>3.52</v>
      </c>
    </row>
    <row r="84" spans="2:21">
      <c r="B84">
        <v>16.899999999999999</v>
      </c>
      <c r="C84">
        <v>17</v>
      </c>
      <c r="D84">
        <v>19.7</v>
      </c>
      <c r="E84">
        <v>15.5</v>
      </c>
      <c r="F84">
        <v>16.7</v>
      </c>
      <c r="G84">
        <v>16.600000000000001</v>
      </c>
      <c r="H84">
        <v>19.100000000000001</v>
      </c>
      <c r="I84">
        <v>16.5</v>
      </c>
      <c r="J84">
        <v>14.9</v>
      </c>
      <c r="M84">
        <f t="shared" si="40"/>
        <v>3.38</v>
      </c>
      <c r="N84">
        <f t="shared" ref="N84:U84" si="43">C84/5</f>
        <v>3.4</v>
      </c>
      <c r="O84">
        <f t="shared" si="43"/>
        <v>3.94</v>
      </c>
      <c r="P84">
        <f t="shared" si="43"/>
        <v>3.1</v>
      </c>
      <c r="Q84">
        <f t="shared" si="43"/>
        <v>3.34</v>
      </c>
      <c r="R84">
        <f t="shared" si="43"/>
        <v>3.32</v>
      </c>
      <c r="S84">
        <f t="shared" si="43"/>
        <v>3.82</v>
      </c>
      <c r="T84">
        <f t="shared" si="43"/>
        <v>3.3</v>
      </c>
      <c r="U84">
        <f t="shared" si="43"/>
        <v>2.98</v>
      </c>
    </row>
    <row r="85" spans="2:21">
      <c r="B85">
        <v>14.9</v>
      </c>
      <c r="C85">
        <v>16.399999999999999</v>
      </c>
      <c r="D85">
        <v>17.399999999999999</v>
      </c>
      <c r="E85">
        <v>19.2</v>
      </c>
      <c r="F85">
        <v>19.399999999999999</v>
      </c>
      <c r="G85">
        <v>18.7</v>
      </c>
      <c r="H85">
        <v>15.6</v>
      </c>
      <c r="I85">
        <v>18.8</v>
      </c>
      <c r="J85">
        <v>17.5</v>
      </c>
      <c r="M85">
        <f t="shared" si="40"/>
        <v>2.98</v>
      </c>
      <c r="N85">
        <f t="shared" ref="N85:U85" si="44">C85/5</f>
        <v>3.28</v>
      </c>
      <c r="O85">
        <f t="shared" si="44"/>
        <v>3.48</v>
      </c>
      <c r="P85">
        <f t="shared" si="44"/>
        <v>3.84</v>
      </c>
      <c r="Q85">
        <f t="shared" si="44"/>
        <v>3.88</v>
      </c>
      <c r="R85">
        <f t="shared" si="44"/>
        <v>3.74</v>
      </c>
      <c r="S85">
        <f t="shared" si="44"/>
        <v>3.12</v>
      </c>
      <c r="T85">
        <f t="shared" si="44"/>
        <v>3.76</v>
      </c>
      <c r="U85">
        <f t="shared" si="44"/>
        <v>3.5</v>
      </c>
    </row>
    <row r="86" spans="2:21">
      <c r="B86">
        <v>16.899999999999999</v>
      </c>
      <c r="C86">
        <v>14.1</v>
      </c>
      <c r="D86">
        <v>19.7</v>
      </c>
      <c r="E86">
        <v>17.600000000000001</v>
      </c>
      <c r="F86">
        <v>17.7</v>
      </c>
      <c r="G86">
        <v>18.7</v>
      </c>
      <c r="H86">
        <v>17</v>
      </c>
      <c r="I86">
        <v>16.3</v>
      </c>
      <c r="J86">
        <v>19.899999999999999</v>
      </c>
      <c r="M86">
        <f t="shared" si="40"/>
        <v>3.38</v>
      </c>
      <c r="N86">
        <f t="shared" ref="N86:U86" si="45">C86/5</f>
        <v>2.82</v>
      </c>
      <c r="O86">
        <f t="shared" si="45"/>
        <v>3.94</v>
      </c>
      <c r="P86">
        <f t="shared" si="45"/>
        <v>3.52</v>
      </c>
      <c r="Q86">
        <f t="shared" si="45"/>
        <v>3.54</v>
      </c>
      <c r="R86">
        <f t="shared" si="45"/>
        <v>3.74</v>
      </c>
      <c r="S86">
        <f t="shared" si="45"/>
        <v>3.4</v>
      </c>
      <c r="T86">
        <f t="shared" si="45"/>
        <v>3.26</v>
      </c>
      <c r="U86">
        <f t="shared" si="45"/>
        <v>3.98</v>
      </c>
    </row>
    <row r="87" spans="2:21">
      <c r="B87">
        <v>16</v>
      </c>
      <c r="C87">
        <v>17.600000000000001</v>
      </c>
      <c r="D87">
        <v>16</v>
      </c>
      <c r="E87">
        <v>16.600000000000001</v>
      </c>
      <c r="F87">
        <v>19.899999999999999</v>
      </c>
      <c r="G87">
        <v>16.2</v>
      </c>
      <c r="H87">
        <v>15.1</v>
      </c>
      <c r="I87">
        <v>15.3</v>
      </c>
      <c r="J87">
        <v>20.3</v>
      </c>
      <c r="M87">
        <f t="shared" si="40"/>
        <v>3.2</v>
      </c>
      <c r="N87">
        <f t="shared" ref="N87:U87" si="46">C87/5</f>
        <v>3.52</v>
      </c>
      <c r="O87">
        <f t="shared" si="46"/>
        <v>3.2</v>
      </c>
      <c r="P87">
        <f t="shared" si="46"/>
        <v>3.32</v>
      </c>
      <c r="Q87">
        <f t="shared" si="46"/>
        <v>3.98</v>
      </c>
      <c r="R87">
        <f t="shared" si="46"/>
        <v>3.24</v>
      </c>
      <c r="S87">
        <f t="shared" si="46"/>
        <v>3.02</v>
      </c>
      <c r="T87">
        <f t="shared" si="46"/>
        <v>3.06</v>
      </c>
      <c r="U87">
        <f t="shared" si="46"/>
        <v>4.0599999999999996</v>
      </c>
    </row>
    <row r="88" spans="2:21">
      <c r="B88">
        <v>16</v>
      </c>
      <c r="C88">
        <v>13</v>
      </c>
      <c r="D88">
        <v>17.7</v>
      </c>
      <c r="E88">
        <v>16.5</v>
      </c>
      <c r="F88">
        <v>20.6</v>
      </c>
      <c r="G88">
        <v>18.2</v>
      </c>
      <c r="H88">
        <v>14.4</v>
      </c>
      <c r="I88">
        <v>19</v>
      </c>
      <c r="J88">
        <v>17.100000000000001</v>
      </c>
      <c r="M88">
        <f t="shared" si="40"/>
        <v>3.2</v>
      </c>
      <c r="N88">
        <f t="shared" ref="N88:U88" si="47">C88/5</f>
        <v>2.6</v>
      </c>
      <c r="O88">
        <f t="shared" si="47"/>
        <v>3.54</v>
      </c>
      <c r="P88">
        <f t="shared" si="47"/>
        <v>3.3</v>
      </c>
      <c r="Q88">
        <f t="shared" si="47"/>
        <v>4.12</v>
      </c>
      <c r="R88">
        <f t="shared" si="47"/>
        <v>3.64</v>
      </c>
      <c r="S88">
        <f t="shared" si="47"/>
        <v>2.88</v>
      </c>
      <c r="T88">
        <f t="shared" si="47"/>
        <v>3.8</v>
      </c>
      <c r="U88">
        <f t="shared" si="47"/>
        <v>3.42</v>
      </c>
    </row>
    <row r="89" spans="2:21">
      <c r="B89">
        <v>17.100000000000001</v>
      </c>
      <c r="C89">
        <v>19</v>
      </c>
      <c r="D89">
        <v>17.2</v>
      </c>
      <c r="E89">
        <v>13.6</v>
      </c>
      <c r="F89">
        <v>19.3</v>
      </c>
      <c r="G89">
        <v>16.399999999999999</v>
      </c>
      <c r="H89">
        <v>15.4</v>
      </c>
      <c r="I89">
        <v>17.7</v>
      </c>
      <c r="J89">
        <v>19.7</v>
      </c>
      <c r="M89">
        <f t="shared" si="40"/>
        <v>3.42</v>
      </c>
      <c r="N89">
        <f t="shared" ref="N89:U89" si="48">C89/5</f>
        <v>3.8</v>
      </c>
      <c r="O89">
        <f t="shared" si="48"/>
        <v>3.44</v>
      </c>
      <c r="P89">
        <f t="shared" si="48"/>
        <v>2.72</v>
      </c>
      <c r="Q89">
        <f t="shared" si="48"/>
        <v>3.86</v>
      </c>
      <c r="R89">
        <f t="shared" si="48"/>
        <v>3.28</v>
      </c>
      <c r="S89">
        <f t="shared" si="48"/>
        <v>3.08</v>
      </c>
      <c r="T89">
        <f t="shared" si="48"/>
        <v>3.54</v>
      </c>
      <c r="U89">
        <f t="shared" si="48"/>
        <v>3.94</v>
      </c>
    </row>
    <row r="90" spans="2:21">
      <c r="B90">
        <v>14.5</v>
      </c>
      <c r="C90">
        <v>18.5</v>
      </c>
      <c r="D90">
        <v>18.8</v>
      </c>
      <c r="E90">
        <v>19.2</v>
      </c>
      <c r="F90">
        <v>17.8</v>
      </c>
      <c r="G90">
        <v>17</v>
      </c>
      <c r="H90">
        <v>15.3</v>
      </c>
      <c r="I90">
        <v>14.1</v>
      </c>
      <c r="J90">
        <v>17.399999999999999</v>
      </c>
      <c r="M90">
        <f t="shared" si="40"/>
        <v>2.9</v>
      </c>
      <c r="N90">
        <f t="shared" ref="N90:U90" si="49">C90/5</f>
        <v>3.7</v>
      </c>
      <c r="O90">
        <f t="shared" si="49"/>
        <v>3.76</v>
      </c>
      <c r="P90">
        <f t="shared" si="49"/>
        <v>3.84</v>
      </c>
      <c r="Q90">
        <f t="shared" si="49"/>
        <v>3.56</v>
      </c>
      <c r="R90">
        <f t="shared" si="49"/>
        <v>3.4</v>
      </c>
      <c r="S90">
        <f t="shared" si="49"/>
        <v>3.06</v>
      </c>
      <c r="T90">
        <f t="shared" si="49"/>
        <v>2.82</v>
      </c>
      <c r="U90">
        <f t="shared" si="49"/>
        <v>3.48</v>
      </c>
    </row>
    <row r="91" spans="2:21">
      <c r="B91">
        <v>15.6</v>
      </c>
      <c r="C91">
        <v>13.4</v>
      </c>
      <c r="D91">
        <v>17.5</v>
      </c>
      <c r="E91">
        <v>17.3</v>
      </c>
      <c r="F91">
        <v>18</v>
      </c>
      <c r="G91">
        <v>16.399999999999999</v>
      </c>
      <c r="H91">
        <v>15.5</v>
      </c>
      <c r="I91">
        <v>19.899999999999999</v>
      </c>
      <c r="J91">
        <v>20.5</v>
      </c>
      <c r="M91">
        <f t="shared" si="40"/>
        <v>3.12</v>
      </c>
      <c r="N91">
        <f t="shared" ref="N91:U91" si="50">C91/5</f>
        <v>2.68</v>
      </c>
      <c r="O91">
        <f t="shared" si="50"/>
        <v>3.5</v>
      </c>
      <c r="P91">
        <f t="shared" si="50"/>
        <v>3.46</v>
      </c>
      <c r="Q91">
        <f t="shared" si="50"/>
        <v>3.6</v>
      </c>
      <c r="R91">
        <f t="shared" si="50"/>
        <v>3.28</v>
      </c>
      <c r="S91">
        <f t="shared" si="50"/>
        <v>3.1</v>
      </c>
      <c r="T91">
        <f t="shared" si="50"/>
        <v>3.98</v>
      </c>
      <c r="U91">
        <f t="shared" si="50"/>
        <v>4.0999999999999996</v>
      </c>
    </row>
    <row r="92" spans="2:21">
      <c r="L92" t="s">
        <v>27</v>
      </c>
      <c r="M92" s="1">
        <f t="shared" ref="M92:U92" si="51">AVERAGE(M82:M91)</f>
        <v>3.1459999999999999</v>
      </c>
      <c r="N92" s="1">
        <f t="shared" si="51"/>
        <v>3.2559999999999998</v>
      </c>
      <c r="O92" s="4">
        <f t="shared" si="51"/>
        <v>3.6859999999999999</v>
      </c>
      <c r="P92" s="1">
        <f t="shared" si="51"/>
        <v>3.38</v>
      </c>
      <c r="Q92" s="4">
        <f t="shared" si="51"/>
        <v>3.694</v>
      </c>
      <c r="R92" s="4">
        <f t="shared" si="51"/>
        <v>3.4220000000000002</v>
      </c>
      <c r="S92" s="1">
        <f t="shared" si="51"/>
        <v>3.2160000000000002</v>
      </c>
      <c r="T92" s="1">
        <f t="shared" si="51"/>
        <v>3.3959999999999999</v>
      </c>
      <c r="U92" s="4">
        <f t="shared" si="51"/>
        <v>3.6640000000000001</v>
      </c>
    </row>
    <row r="93" spans="2:21">
      <c r="L93" t="s">
        <v>28</v>
      </c>
      <c r="M93" s="1">
        <f t="shared" ref="M93:U93" si="52">STDEV(M82:M91)</f>
        <v>0.202001100107015</v>
      </c>
      <c r="N93" s="1">
        <f t="shared" si="52"/>
        <v>0.42581164328321902</v>
      </c>
      <c r="O93" s="1">
        <f t="shared" si="52"/>
        <v>0.30258882993263297</v>
      </c>
      <c r="P93" s="1">
        <f t="shared" si="52"/>
        <v>0.34370530012400602</v>
      </c>
      <c r="Q93" s="1">
        <f t="shared" si="52"/>
        <v>0.27488179277645902</v>
      </c>
      <c r="R93" s="1">
        <f t="shared" si="52"/>
        <v>0.21154458421597799</v>
      </c>
      <c r="S93" s="1">
        <f t="shared" si="52"/>
        <v>0.26945211902014099</v>
      </c>
      <c r="T93" s="1">
        <f t="shared" si="52"/>
        <v>0.36984080659416502</v>
      </c>
      <c r="U93" s="1">
        <f t="shared" si="52"/>
        <v>0.35462656414882399</v>
      </c>
    </row>
    <row r="94" spans="2:21">
      <c r="L94" t="s">
        <v>29</v>
      </c>
      <c r="M94" s="1">
        <f t="shared" ref="M94:U94" si="53">CONFIDENCE(0.05,M93,10)</f>
        <v>0.125199278366385</v>
      </c>
      <c r="N94" s="1">
        <f t="shared" si="53"/>
        <v>0.263915941204381</v>
      </c>
      <c r="O94" s="1">
        <f t="shared" si="53"/>
        <v>0.18754305362309601</v>
      </c>
      <c r="P94" s="1">
        <f t="shared" si="53"/>
        <v>0.21302683759360799</v>
      </c>
      <c r="Q94" s="1">
        <f t="shared" si="53"/>
        <v>0.17037036963382099</v>
      </c>
      <c r="R94" s="1">
        <f t="shared" si="53"/>
        <v>0.131114282407997</v>
      </c>
      <c r="S94" s="1">
        <f t="shared" si="53"/>
        <v>0.167005084812621</v>
      </c>
      <c r="T94" s="1">
        <f t="shared" si="53"/>
        <v>0.22922549467057499</v>
      </c>
      <c r="U94" s="1">
        <f t="shared" si="53"/>
        <v>0.219795782782676</v>
      </c>
    </row>
    <row r="98" spans="2:21">
      <c r="D98" t="s">
        <v>36</v>
      </c>
    </row>
    <row r="100" spans="2:21">
      <c r="E100" t="s">
        <v>15</v>
      </c>
      <c r="P100" t="s">
        <v>16</v>
      </c>
    </row>
    <row r="101" spans="2:21">
      <c r="F101" t="s">
        <v>17</v>
      </c>
      <c r="Q101" t="s">
        <v>17</v>
      </c>
    </row>
    <row r="102" spans="2:21">
      <c r="B102" t="s">
        <v>18</v>
      </c>
      <c r="C102" t="s">
        <v>19</v>
      </c>
      <c r="D102" t="s">
        <v>20</v>
      </c>
      <c r="E102" t="s">
        <v>21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M102" t="s">
        <v>18</v>
      </c>
      <c r="N102" t="s">
        <v>19</v>
      </c>
      <c r="O102" t="s">
        <v>20</v>
      </c>
      <c r="P102" t="s">
        <v>21</v>
      </c>
      <c r="Q102" t="s">
        <v>22</v>
      </c>
      <c r="R102" t="s">
        <v>23</v>
      </c>
      <c r="S102" t="s">
        <v>24</v>
      </c>
      <c r="T102" t="s">
        <v>25</v>
      </c>
      <c r="U102" t="s">
        <v>26</v>
      </c>
    </row>
    <row r="103" spans="2:21">
      <c r="B103">
        <v>8</v>
      </c>
      <c r="C103">
        <v>4</v>
      </c>
      <c r="D103">
        <v>3</v>
      </c>
      <c r="E103">
        <v>4</v>
      </c>
      <c r="F103">
        <v>2</v>
      </c>
      <c r="G103">
        <v>6</v>
      </c>
      <c r="H103">
        <v>4</v>
      </c>
      <c r="I103">
        <v>10</v>
      </c>
      <c r="J103">
        <v>8</v>
      </c>
      <c r="M103">
        <f t="shared" ref="M103:M107" si="54">(B103/20)*100</f>
        <v>40</v>
      </c>
      <c r="N103">
        <f t="shared" ref="N103:U103" si="55">(C103/20)*100</f>
        <v>20</v>
      </c>
      <c r="O103">
        <f t="shared" si="55"/>
        <v>15</v>
      </c>
      <c r="P103">
        <f t="shared" si="55"/>
        <v>20</v>
      </c>
      <c r="Q103">
        <f t="shared" si="55"/>
        <v>10</v>
      </c>
      <c r="R103">
        <f t="shared" si="55"/>
        <v>30</v>
      </c>
      <c r="S103">
        <f t="shared" si="55"/>
        <v>20</v>
      </c>
      <c r="T103">
        <f t="shared" si="55"/>
        <v>50</v>
      </c>
      <c r="U103">
        <f t="shared" si="55"/>
        <v>40</v>
      </c>
    </row>
    <row r="104" spans="2:21">
      <c r="B104">
        <v>5</v>
      </c>
      <c r="C104">
        <v>5</v>
      </c>
      <c r="D104">
        <v>4</v>
      </c>
      <c r="E104">
        <v>3</v>
      </c>
      <c r="F104">
        <v>5</v>
      </c>
      <c r="G104">
        <v>6</v>
      </c>
      <c r="H104">
        <v>5</v>
      </c>
      <c r="I104">
        <v>6</v>
      </c>
      <c r="J104">
        <v>6</v>
      </c>
      <c r="M104">
        <f t="shared" si="54"/>
        <v>25</v>
      </c>
      <c r="N104">
        <f t="shared" ref="N104:U104" si="56">(C104/20)*100</f>
        <v>25</v>
      </c>
      <c r="O104">
        <f t="shared" si="56"/>
        <v>20</v>
      </c>
      <c r="P104">
        <f t="shared" si="56"/>
        <v>15</v>
      </c>
      <c r="Q104">
        <f t="shared" si="56"/>
        <v>25</v>
      </c>
      <c r="R104">
        <f t="shared" si="56"/>
        <v>30</v>
      </c>
      <c r="S104">
        <f t="shared" si="56"/>
        <v>25</v>
      </c>
      <c r="T104">
        <f t="shared" si="56"/>
        <v>30</v>
      </c>
      <c r="U104">
        <f t="shared" si="56"/>
        <v>30</v>
      </c>
    </row>
    <row r="105" spans="2:21">
      <c r="B105">
        <v>4</v>
      </c>
      <c r="C105">
        <v>6</v>
      </c>
      <c r="D105">
        <v>7</v>
      </c>
      <c r="E105">
        <v>3</v>
      </c>
      <c r="F105">
        <v>8</v>
      </c>
      <c r="G105">
        <v>7</v>
      </c>
      <c r="H105">
        <v>6</v>
      </c>
      <c r="I105">
        <v>9</v>
      </c>
      <c r="J105">
        <v>4</v>
      </c>
      <c r="M105">
        <f t="shared" si="54"/>
        <v>20</v>
      </c>
      <c r="N105">
        <f t="shared" ref="N105:U105" si="57">(C105/20)*100</f>
        <v>30</v>
      </c>
      <c r="O105">
        <f t="shared" si="57"/>
        <v>35</v>
      </c>
      <c r="P105">
        <f t="shared" si="57"/>
        <v>15</v>
      </c>
      <c r="Q105">
        <f t="shared" si="57"/>
        <v>40</v>
      </c>
      <c r="R105">
        <f t="shared" si="57"/>
        <v>35</v>
      </c>
      <c r="S105">
        <f t="shared" si="57"/>
        <v>30</v>
      </c>
      <c r="T105">
        <f t="shared" si="57"/>
        <v>45</v>
      </c>
      <c r="U105">
        <f t="shared" si="57"/>
        <v>20</v>
      </c>
    </row>
    <row r="106" spans="2:21">
      <c r="B106">
        <v>3</v>
      </c>
      <c r="C106">
        <v>6</v>
      </c>
      <c r="D106">
        <v>4</v>
      </c>
      <c r="E106">
        <v>4</v>
      </c>
      <c r="F106">
        <v>4</v>
      </c>
      <c r="G106">
        <v>3</v>
      </c>
      <c r="H106">
        <v>6</v>
      </c>
      <c r="I106">
        <v>5</v>
      </c>
      <c r="J106">
        <v>6</v>
      </c>
      <c r="M106">
        <f t="shared" si="54"/>
        <v>15</v>
      </c>
      <c r="N106">
        <f t="shared" ref="N106:U106" si="58">(C106/20)*100</f>
        <v>30</v>
      </c>
      <c r="O106">
        <f t="shared" si="58"/>
        <v>20</v>
      </c>
      <c r="P106">
        <f t="shared" si="58"/>
        <v>20</v>
      </c>
      <c r="Q106">
        <f t="shared" si="58"/>
        <v>20</v>
      </c>
      <c r="R106">
        <f t="shared" si="58"/>
        <v>15</v>
      </c>
      <c r="S106">
        <f t="shared" si="58"/>
        <v>30</v>
      </c>
      <c r="T106">
        <f t="shared" si="58"/>
        <v>25</v>
      </c>
      <c r="U106">
        <f t="shared" si="58"/>
        <v>30</v>
      </c>
    </row>
    <row r="107" spans="2:21">
      <c r="B107">
        <v>5</v>
      </c>
      <c r="C107">
        <v>8</v>
      </c>
      <c r="D107">
        <v>4</v>
      </c>
      <c r="E107">
        <v>5</v>
      </c>
      <c r="F107">
        <v>6</v>
      </c>
      <c r="G107">
        <v>5</v>
      </c>
      <c r="H107">
        <v>7</v>
      </c>
      <c r="I107">
        <v>6</v>
      </c>
      <c r="J107">
        <v>3</v>
      </c>
      <c r="M107">
        <f t="shared" si="54"/>
        <v>25</v>
      </c>
      <c r="N107">
        <f t="shared" ref="N107:U107" si="59">(C107/20)*100</f>
        <v>40</v>
      </c>
      <c r="O107">
        <f t="shared" si="59"/>
        <v>20</v>
      </c>
      <c r="P107">
        <f t="shared" si="59"/>
        <v>25</v>
      </c>
      <c r="Q107">
        <f t="shared" si="59"/>
        <v>30</v>
      </c>
      <c r="R107">
        <f t="shared" si="59"/>
        <v>25</v>
      </c>
      <c r="S107">
        <f t="shared" si="59"/>
        <v>35</v>
      </c>
      <c r="T107">
        <f t="shared" si="59"/>
        <v>30</v>
      </c>
      <c r="U107">
        <f t="shared" si="59"/>
        <v>15</v>
      </c>
    </row>
    <row r="113" spans="2:21">
      <c r="F113" t="s">
        <v>30</v>
      </c>
      <c r="Q113" t="s">
        <v>30</v>
      </c>
    </row>
    <row r="114" spans="2:21">
      <c r="B114" t="s">
        <v>18</v>
      </c>
      <c r="C114" t="s">
        <v>19</v>
      </c>
      <c r="D114" t="s">
        <v>20</v>
      </c>
      <c r="E114" t="s">
        <v>21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M114" t="s">
        <v>18</v>
      </c>
      <c r="N114" t="s">
        <v>19</v>
      </c>
      <c r="O114" t="s">
        <v>20</v>
      </c>
      <c r="P114" t="s">
        <v>21</v>
      </c>
      <c r="Q114" t="s">
        <v>22</v>
      </c>
      <c r="R114" t="s">
        <v>23</v>
      </c>
      <c r="S114" t="s">
        <v>24</v>
      </c>
      <c r="T114" t="s">
        <v>25</v>
      </c>
      <c r="U114" t="s">
        <v>26</v>
      </c>
    </row>
    <row r="115" spans="2:21">
      <c r="B115">
        <v>18</v>
      </c>
      <c r="C115">
        <v>13</v>
      </c>
      <c r="D115">
        <v>14</v>
      </c>
      <c r="E115">
        <v>19</v>
      </c>
      <c r="F115">
        <v>15</v>
      </c>
      <c r="G115">
        <v>18</v>
      </c>
      <c r="H115">
        <v>17</v>
      </c>
      <c r="I115">
        <v>15</v>
      </c>
      <c r="J115">
        <v>16</v>
      </c>
      <c r="M115">
        <f t="shared" ref="M115:U115" si="60">(B115/20)*100</f>
        <v>90</v>
      </c>
      <c r="N115">
        <f t="shared" si="60"/>
        <v>65</v>
      </c>
      <c r="O115">
        <f t="shared" si="60"/>
        <v>70</v>
      </c>
      <c r="P115">
        <f t="shared" si="60"/>
        <v>95</v>
      </c>
      <c r="Q115">
        <f t="shared" si="60"/>
        <v>75</v>
      </c>
      <c r="R115">
        <f t="shared" si="60"/>
        <v>90</v>
      </c>
      <c r="S115">
        <f t="shared" si="60"/>
        <v>85</v>
      </c>
      <c r="T115">
        <f t="shared" si="60"/>
        <v>75</v>
      </c>
      <c r="U115">
        <f t="shared" si="60"/>
        <v>80</v>
      </c>
    </row>
    <row r="116" spans="2:21">
      <c r="B116">
        <v>15</v>
      </c>
      <c r="C116">
        <v>17</v>
      </c>
      <c r="D116">
        <v>16</v>
      </c>
      <c r="E116">
        <v>14</v>
      </c>
      <c r="F116">
        <v>16</v>
      </c>
      <c r="G116">
        <v>18</v>
      </c>
      <c r="H116">
        <v>13</v>
      </c>
      <c r="I116">
        <v>15</v>
      </c>
      <c r="J116">
        <v>19</v>
      </c>
      <c r="M116">
        <f t="shared" ref="M116:U116" si="61">(B116/20)*100</f>
        <v>75</v>
      </c>
      <c r="N116">
        <f t="shared" si="61"/>
        <v>85</v>
      </c>
      <c r="O116">
        <f t="shared" si="61"/>
        <v>80</v>
      </c>
      <c r="P116">
        <f t="shared" si="61"/>
        <v>70</v>
      </c>
      <c r="Q116">
        <f t="shared" si="61"/>
        <v>80</v>
      </c>
      <c r="R116">
        <f t="shared" si="61"/>
        <v>90</v>
      </c>
      <c r="S116">
        <f t="shared" si="61"/>
        <v>65</v>
      </c>
      <c r="T116">
        <f t="shared" si="61"/>
        <v>75</v>
      </c>
      <c r="U116">
        <f t="shared" si="61"/>
        <v>95</v>
      </c>
    </row>
    <row r="117" spans="2:21">
      <c r="B117">
        <v>15</v>
      </c>
      <c r="C117">
        <v>16</v>
      </c>
      <c r="D117">
        <v>17</v>
      </c>
      <c r="E117">
        <v>19</v>
      </c>
      <c r="F117">
        <v>19</v>
      </c>
      <c r="G117">
        <v>17</v>
      </c>
      <c r="H117">
        <v>17</v>
      </c>
      <c r="I117">
        <v>15</v>
      </c>
      <c r="J117">
        <v>20</v>
      </c>
      <c r="M117">
        <f t="shared" ref="M117:U117" si="62">(B117/20)*100</f>
        <v>75</v>
      </c>
      <c r="N117">
        <f t="shared" si="62"/>
        <v>80</v>
      </c>
      <c r="O117">
        <f t="shared" si="62"/>
        <v>85</v>
      </c>
      <c r="P117">
        <f t="shared" si="62"/>
        <v>95</v>
      </c>
      <c r="Q117">
        <f t="shared" si="62"/>
        <v>95</v>
      </c>
      <c r="R117">
        <f t="shared" si="62"/>
        <v>85</v>
      </c>
      <c r="S117">
        <f t="shared" si="62"/>
        <v>85</v>
      </c>
      <c r="T117">
        <f t="shared" si="62"/>
        <v>75</v>
      </c>
      <c r="U117">
        <f t="shared" si="62"/>
        <v>100</v>
      </c>
    </row>
    <row r="118" spans="2:21">
      <c r="B118">
        <v>17</v>
      </c>
      <c r="C118">
        <v>18</v>
      </c>
      <c r="D118">
        <v>17</v>
      </c>
      <c r="E118">
        <v>16</v>
      </c>
      <c r="F118">
        <v>16</v>
      </c>
      <c r="G118">
        <v>18</v>
      </c>
      <c r="H118">
        <v>15</v>
      </c>
      <c r="I118">
        <v>16</v>
      </c>
      <c r="J118">
        <v>16</v>
      </c>
      <c r="M118">
        <f t="shared" ref="M118:U118" si="63">(B118/20)*100</f>
        <v>85</v>
      </c>
      <c r="N118">
        <f t="shared" si="63"/>
        <v>90</v>
      </c>
      <c r="O118">
        <f t="shared" si="63"/>
        <v>85</v>
      </c>
      <c r="P118">
        <f t="shared" si="63"/>
        <v>80</v>
      </c>
      <c r="Q118">
        <f t="shared" si="63"/>
        <v>80</v>
      </c>
      <c r="R118">
        <f t="shared" si="63"/>
        <v>90</v>
      </c>
      <c r="S118">
        <f t="shared" si="63"/>
        <v>75</v>
      </c>
      <c r="T118">
        <f t="shared" si="63"/>
        <v>80</v>
      </c>
      <c r="U118">
        <f t="shared" si="63"/>
        <v>80</v>
      </c>
    </row>
    <row r="119" spans="2:21">
      <c r="B119">
        <v>15</v>
      </c>
      <c r="C119">
        <v>19</v>
      </c>
      <c r="D119">
        <v>16</v>
      </c>
      <c r="E119">
        <v>17</v>
      </c>
      <c r="F119">
        <v>19</v>
      </c>
      <c r="G119">
        <v>19</v>
      </c>
      <c r="H119">
        <v>17</v>
      </c>
      <c r="I119">
        <v>16</v>
      </c>
      <c r="J119">
        <v>14</v>
      </c>
      <c r="M119">
        <f t="shared" ref="M119:U119" si="64">(B119/20)*100</f>
        <v>75</v>
      </c>
      <c r="N119">
        <f t="shared" si="64"/>
        <v>95</v>
      </c>
      <c r="O119">
        <f t="shared" si="64"/>
        <v>80</v>
      </c>
      <c r="P119">
        <f t="shared" si="64"/>
        <v>85</v>
      </c>
      <c r="Q119">
        <f t="shared" si="64"/>
        <v>95</v>
      </c>
      <c r="R119">
        <f t="shared" si="64"/>
        <v>95</v>
      </c>
      <c r="S119">
        <f t="shared" si="64"/>
        <v>85</v>
      </c>
      <c r="T119">
        <f t="shared" si="64"/>
        <v>80</v>
      </c>
      <c r="U119">
        <f t="shared" si="64"/>
        <v>70</v>
      </c>
    </row>
    <row r="125" spans="2:21">
      <c r="F125" t="s">
        <v>31</v>
      </c>
      <c r="Q125" t="s">
        <v>31</v>
      </c>
    </row>
    <row r="126" spans="2:21">
      <c r="B126" t="s">
        <v>18</v>
      </c>
      <c r="C126" t="s">
        <v>19</v>
      </c>
      <c r="D126" t="s">
        <v>20</v>
      </c>
      <c r="E126" t="s">
        <v>21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M126" t="s">
        <v>18</v>
      </c>
      <c r="N126" t="s">
        <v>19</v>
      </c>
      <c r="O126" t="s">
        <v>20</v>
      </c>
      <c r="P126" t="s">
        <v>21</v>
      </c>
      <c r="Q126" t="s">
        <v>22</v>
      </c>
      <c r="R126" t="s">
        <v>23</v>
      </c>
      <c r="S126" t="s">
        <v>24</v>
      </c>
      <c r="T126" t="s">
        <v>25</v>
      </c>
      <c r="U126" t="s">
        <v>26</v>
      </c>
    </row>
    <row r="127" spans="2:21">
      <c r="B127">
        <v>18</v>
      </c>
      <c r="C127">
        <v>14</v>
      </c>
      <c r="D127">
        <v>17</v>
      </c>
      <c r="E127">
        <v>17</v>
      </c>
      <c r="F127">
        <v>16</v>
      </c>
      <c r="G127">
        <v>19</v>
      </c>
      <c r="H127">
        <v>17</v>
      </c>
      <c r="I127">
        <v>16</v>
      </c>
      <c r="J127">
        <v>16</v>
      </c>
      <c r="M127">
        <f t="shared" ref="M127:U127" si="65">(B127/20)*100</f>
        <v>90</v>
      </c>
      <c r="N127">
        <f t="shared" si="65"/>
        <v>70</v>
      </c>
      <c r="O127">
        <f t="shared" si="65"/>
        <v>85</v>
      </c>
      <c r="P127">
        <f t="shared" si="65"/>
        <v>85</v>
      </c>
      <c r="Q127">
        <f t="shared" si="65"/>
        <v>80</v>
      </c>
      <c r="R127">
        <f t="shared" si="65"/>
        <v>95</v>
      </c>
      <c r="S127">
        <f t="shared" si="65"/>
        <v>85</v>
      </c>
      <c r="T127">
        <f t="shared" si="65"/>
        <v>80</v>
      </c>
      <c r="U127">
        <f t="shared" si="65"/>
        <v>80</v>
      </c>
    </row>
    <row r="128" spans="2:21">
      <c r="B128">
        <v>16</v>
      </c>
      <c r="C128">
        <v>18</v>
      </c>
      <c r="D128">
        <v>16</v>
      </c>
      <c r="E128">
        <v>16</v>
      </c>
      <c r="F128">
        <v>18</v>
      </c>
      <c r="G128">
        <v>19</v>
      </c>
      <c r="H128">
        <v>16</v>
      </c>
      <c r="I128">
        <v>18</v>
      </c>
      <c r="J128">
        <v>19</v>
      </c>
      <c r="M128">
        <f t="shared" ref="M128:U128" si="66">(B128/20)*100</f>
        <v>80</v>
      </c>
      <c r="N128">
        <f t="shared" si="66"/>
        <v>90</v>
      </c>
      <c r="O128">
        <f t="shared" si="66"/>
        <v>80</v>
      </c>
      <c r="P128">
        <f t="shared" si="66"/>
        <v>80</v>
      </c>
      <c r="Q128">
        <f t="shared" si="66"/>
        <v>90</v>
      </c>
      <c r="R128">
        <f t="shared" si="66"/>
        <v>95</v>
      </c>
      <c r="S128">
        <f t="shared" si="66"/>
        <v>80</v>
      </c>
      <c r="T128">
        <f t="shared" si="66"/>
        <v>90</v>
      </c>
      <c r="U128">
        <f t="shared" si="66"/>
        <v>95</v>
      </c>
    </row>
    <row r="129" spans="2:21">
      <c r="B129">
        <v>17</v>
      </c>
      <c r="C129">
        <v>16</v>
      </c>
      <c r="D129">
        <v>18</v>
      </c>
      <c r="E129">
        <v>20</v>
      </c>
      <c r="F129">
        <v>19</v>
      </c>
      <c r="G129">
        <v>18</v>
      </c>
      <c r="H129">
        <v>17</v>
      </c>
      <c r="I129">
        <v>17</v>
      </c>
      <c r="J129">
        <v>20</v>
      </c>
      <c r="M129">
        <f t="shared" ref="M129:U129" si="67">(B129/20)*100</f>
        <v>85</v>
      </c>
      <c r="N129">
        <f t="shared" si="67"/>
        <v>80</v>
      </c>
      <c r="O129">
        <f t="shared" si="67"/>
        <v>90</v>
      </c>
      <c r="P129">
        <f t="shared" si="67"/>
        <v>100</v>
      </c>
      <c r="Q129">
        <f t="shared" si="67"/>
        <v>95</v>
      </c>
      <c r="R129">
        <f t="shared" si="67"/>
        <v>90</v>
      </c>
      <c r="S129">
        <f t="shared" si="67"/>
        <v>85</v>
      </c>
      <c r="T129">
        <f t="shared" si="67"/>
        <v>85</v>
      </c>
      <c r="U129">
        <f t="shared" si="67"/>
        <v>100</v>
      </c>
    </row>
    <row r="130" spans="2:21">
      <c r="B130">
        <v>17</v>
      </c>
      <c r="C130">
        <v>18</v>
      </c>
      <c r="D130">
        <v>18</v>
      </c>
      <c r="E130">
        <v>17</v>
      </c>
      <c r="F130">
        <v>16</v>
      </c>
      <c r="G130">
        <v>18</v>
      </c>
      <c r="H130">
        <v>16</v>
      </c>
      <c r="I130">
        <v>16</v>
      </c>
      <c r="J130">
        <v>16</v>
      </c>
      <c r="M130">
        <f t="shared" ref="M130:U130" si="68">(B130/20)*100</f>
        <v>85</v>
      </c>
      <c r="N130">
        <f t="shared" si="68"/>
        <v>90</v>
      </c>
      <c r="O130">
        <f t="shared" si="68"/>
        <v>90</v>
      </c>
      <c r="P130">
        <f t="shared" si="68"/>
        <v>85</v>
      </c>
      <c r="Q130">
        <f t="shared" si="68"/>
        <v>80</v>
      </c>
      <c r="R130">
        <f t="shared" si="68"/>
        <v>90</v>
      </c>
      <c r="S130">
        <f t="shared" si="68"/>
        <v>80</v>
      </c>
      <c r="T130">
        <f t="shared" si="68"/>
        <v>80</v>
      </c>
      <c r="U130">
        <f t="shared" si="68"/>
        <v>80</v>
      </c>
    </row>
    <row r="131" spans="2:21">
      <c r="B131">
        <v>17</v>
      </c>
      <c r="C131">
        <v>19</v>
      </c>
      <c r="D131">
        <v>17</v>
      </c>
      <c r="E131">
        <v>17</v>
      </c>
      <c r="F131">
        <v>19</v>
      </c>
      <c r="G131">
        <v>19</v>
      </c>
      <c r="H131">
        <v>20</v>
      </c>
      <c r="I131">
        <v>17</v>
      </c>
      <c r="J131">
        <v>15</v>
      </c>
      <c r="M131">
        <f t="shared" ref="M131:U131" si="69">(B131/20)*100</f>
        <v>85</v>
      </c>
      <c r="N131">
        <f t="shared" si="69"/>
        <v>95</v>
      </c>
      <c r="O131">
        <f t="shared" si="69"/>
        <v>85</v>
      </c>
      <c r="P131">
        <f t="shared" si="69"/>
        <v>85</v>
      </c>
      <c r="Q131">
        <f t="shared" si="69"/>
        <v>95</v>
      </c>
      <c r="R131">
        <f t="shared" si="69"/>
        <v>95</v>
      </c>
      <c r="S131">
        <f t="shared" si="69"/>
        <v>100</v>
      </c>
      <c r="T131">
        <f t="shared" si="69"/>
        <v>85</v>
      </c>
      <c r="U131">
        <f t="shared" si="69"/>
        <v>75</v>
      </c>
    </row>
    <row r="137" spans="2:21">
      <c r="F137" t="s">
        <v>32</v>
      </c>
      <c r="Q137" t="s">
        <v>32</v>
      </c>
    </row>
    <row r="138" spans="2:21">
      <c r="B138" t="s">
        <v>18</v>
      </c>
      <c r="C138" t="s">
        <v>19</v>
      </c>
      <c r="D138" t="s">
        <v>20</v>
      </c>
      <c r="E138" t="s">
        <v>21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M138" t="s">
        <v>18</v>
      </c>
      <c r="N138" t="s">
        <v>19</v>
      </c>
      <c r="O138" t="s">
        <v>20</v>
      </c>
      <c r="P138" t="s">
        <v>21</v>
      </c>
      <c r="Q138" t="s">
        <v>22</v>
      </c>
      <c r="R138" t="s">
        <v>23</v>
      </c>
      <c r="S138" t="s">
        <v>24</v>
      </c>
      <c r="T138" t="s">
        <v>25</v>
      </c>
      <c r="U138" t="s">
        <v>26</v>
      </c>
    </row>
    <row r="139" spans="2:21">
      <c r="B139">
        <v>18</v>
      </c>
      <c r="C139">
        <v>14</v>
      </c>
      <c r="D139">
        <v>17</v>
      </c>
      <c r="E139">
        <v>19</v>
      </c>
      <c r="F139">
        <v>16</v>
      </c>
      <c r="G139">
        <v>20</v>
      </c>
      <c r="H139">
        <v>17</v>
      </c>
      <c r="I139">
        <v>18</v>
      </c>
      <c r="J139">
        <v>16</v>
      </c>
      <c r="M139">
        <f t="shared" ref="M139:U139" si="70">(B139/20)*100</f>
        <v>90</v>
      </c>
      <c r="N139">
        <f t="shared" si="70"/>
        <v>70</v>
      </c>
      <c r="O139">
        <f t="shared" si="70"/>
        <v>85</v>
      </c>
      <c r="P139">
        <f t="shared" si="70"/>
        <v>95</v>
      </c>
      <c r="Q139">
        <f t="shared" si="70"/>
        <v>80</v>
      </c>
      <c r="R139">
        <f t="shared" si="70"/>
        <v>100</v>
      </c>
      <c r="S139">
        <f t="shared" si="70"/>
        <v>85</v>
      </c>
      <c r="T139">
        <f t="shared" si="70"/>
        <v>90</v>
      </c>
      <c r="U139">
        <f t="shared" si="70"/>
        <v>80</v>
      </c>
    </row>
    <row r="140" spans="2:21">
      <c r="B140">
        <v>16</v>
      </c>
      <c r="C140">
        <v>18</v>
      </c>
      <c r="D140">
        <v>16</v>
      </c>
      <c r="E140">
        <v>16</v>
      </c>
      <c r="F140">
        <v>18</v>
      </c>
      <c r="G140">
        <v>19</v>
      </c>
      <c r="H140">
        <v>16</v>
      </c>
      <c r="I140">
        <v>18</v>
      </c>
      <c r="J140">
        <v>19</v>
      </c>
      <c r="M140">
        <f t="shared" ref="M140:U140" si="71">(B140/20)*100</f>
        <v>80</v>
      </c>
      <c r="N140">
        <f t="shared" si="71"/>
        <v>90</v>
      </c>
      <c r="O140">
        <f t="shared" si="71"/>
        <v>80</v>
      </c>
      <c r="P140">
        <f t="shared" si="71"/>
        <v>80</v>
      </c>
      <c r="Q140">
        <f t="shared" si="71"/>
        <v>90</v>
      </c>
      <c r="R140">
        <f t="shared" si="71"/>
        <v>95</v>
      </c>
      <c r="S140">
        <f t="shared" si="71"/>
        <v>80</v>
      </c>
      <c r="T140">
        <f t="shared" si="71"/>
        <v>90</v>
      </c>
      <c r="U140">
        <f t="shared" si="71"/>
        <v>95</v>
      </c>
    </row>
    <row r="141" spans="2:21">
      <c r="B141">
        <v>19</v>
      </c>
      <c r="C141">
        <v>16</v>
      </c>
      <c r="D141">
        <v>19</v>
      </c>
      <c r="E141">
        <v>20</v>
      </c>
      <c r="F141">
        <v>19</v>
      </c>
      <c r="G141">
        <v>18</v>
      </c>
      <c r="H141">
        <v>17</v>
      </c>
      <c r="I141">
        <v>18</v>
      </c>
      <c r="J141">
        <v>20</v>
      </c>
      <c r="M141">
        <f t="shared" ref="M141:U141" si="72">(B141/20)*100</f>
        <v>95</v>
      </c>
      <c r="N141">
        <f t="shared" si="72"/>
        <v>80</v>
      </c>
      <c r="O141">
        <f t="shared" si="72"/>
        <v>95</v>
      </c>
      <c r="P141">
        <f t="shared" si="72"/>
        <v>100</v>
      </c>
      <c r="Q141">
        <f t="shared" si="72"/>
        <v>95</v>
      </c>
      <c r="R141">
        <f t="shared" si="72"/>
        <v>90</v>
      </c>
      <c r="S141">
        <f t="shared" si="72"/>
        <v>85</v>
      </c>
      <c r="T141">
        <f t="shared" si="72"/>
        <v>90</v>
      </c>
      <c r="U141">
        <f t="shared" si="72"/>
        <v>100</v>
      </c>
    </row>
    <row r="142" spans="2:21">
      <c r="B142">
        <v>17</v>
      </c>
      <c r="C142">
        <v>18</v>
      </c>
      <c r="D142">
        <v>18</v>
      </c>
      <c r="E142">
        <v>17</v>
      </c>
      <c r="F142">
        <v>17</v>
      </c>
      <c r="G142">
        <v>18</v>
      </c>
      <c r="H142">
        <v>16</v>
      </c>
      <c r="I142">
        <v>16</v>
      </c>
      <c r="J142">
        <v>16</v>
      </c>
      <c r="M142">
        <f t="shared" ref="M142:U142" si="73">(B142/20)*100</f>
        <v>85</v>
      </c>
      <c r="N142">
        <f t="shared" si="73"/>
        <v>90</v>
      </c>
      <c r="O142">
        <f t="shared" si="73"/>
        <v>90</v>
      </c>
      <c r="P142">
        <f t="shared" si="73"/>
        <v>85</v>
      </c>
      <c r="Q142">
        <f t="shared" si="73"/>
        <v>85</v>
      </c>
      <c r="R142">
        <f t="shared" si="73"/>
        <v>90</v>
      </c>
      <c r="S142">
        <f t="shared" si="73"/>
        <v>80</v>
      </c>
      <c r="T142">
        <f t="shared" si="73"/>
        <v>80</v>
      </c>
      <c r="U142">
        <f t="shared" si="73"/>
        <v>80</v>
      </c>
    </row>
    <row r="143" spans="2:21">
      <c r="B143">
        <v>17</v>
      </c>
      <c r="C143">
        <v>19</v>
      </c>
      <c r="D143">
        <v>18</v>
      </c>
      <c r="E143">
        <v>17</v>
      </c>
      <c r="F143">
        <v>19</v>
      </c>
      <c r="G143">
        <v>19</v>
      </c>
      <c r="H143">
        <v>20</v>
      </c>
      <c r="I143">
        <v>18</v>
      </c>
      <c r="J143">
        <v>15</v>
      </c>
      <c r="M143">
        <f t="shared" ref="M143:U143" si="74">(B143/20)*100</f>
        <v>85</v>
      </c>
      <c r="N143">
        <f t="shared" si="74"/>
        <v>95</v>
      </c>
      <c r="O143">
        <f t="shared" si="74"/>
        <v>90</v>
      </c>
      <c r="P143">
        <f t="shared" si="74"/>
        <v>85</v>
      </c>
      <c r="Q143">
        <f t="shared" si="74"/>
        <v>95</v>
      </c>
      <c r="R143">
        <f t="shared" si="74"/>
        <v>95</v>
      </c>
      <c r="S143">
        <f t="shared" si="74"/>
        <v>100</v>
      </c>
      <c r="T143">
        <f t="shared" si="74"/>
        <v>90</v>
      </c>
      <c r="U143">
        <f t="shared" si="74"/>
        <v>75</v>
      </c>
    </row>
    <row r="149" spans="2:21">
      <c r="F149" t="s">
        <v>33</v>
      </c>
      <c r="Q149" t="s">
        <v>33</v>
      </c>
    </row>
    <row r="150" spans="2:21">
      <c r="B150" t="s">
        <v>18</v>
      </c>
      <c r="C150" t="s">
        <v>19</v>
      </c>
      <c r="D150" t="s">
        <v>20</v>
      </c>
      <c r="E150" t="s">
        <v>21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M150" t="s">
        <v>18</v>
      </c>
      <c r="N150" t="s">
        <v>19</v>
      </c>
      <c r="O150" t="s">
        <v>20</v>
      </c>
      <c r="P150" t="s">
        <v>21</v>
      </c>
      <c r="Q150" t="s">
        <v>22</v>
      </c>
      <c r="R150" t="s">
        <v>23</v>
      </c>
      <c r="S150" t="s">
        <v>24</v>
      </c>
      <c r="T150" t="s">
        <v>25</v>
      </c>
      <c r="U150" t="s">
        <v>26</v>
      </c>
    </row>
    <row r="151" spans="2:21">
      <c r="B151">
        <v>18</v>
      </c>
      <c r="C151">
        <v>14</v>
      </c>
      <c r="D151">
        <v>17</v>
      </c>
      <c r="E151">
        <v>19</v>
      </c>
      <c r="F151">
        <v>16</v>
      </c>
      <c r="G151">
        <v>20</v>
      </c>
      <c r="H151">
        <v>17</v>
      </c>
      <c r="I151">
        <v>18</v>
      </c>
      <c r="J151">
        <v>16</v>
      </c>
      <c r="M151">
        <f t="shared" ref="M151:U151" si="75">(B151/20)*100</f>
        <v>90</v>
      </c>
      <c r="N151">
        <f t="shared" si="75"/>
        <v>70</v>
      </c>
      <c r="O151">
        <f t="shared" si="75"/>
        <v>85</v>
      </c>
      <c r="P151">
        <f t="shared" si="75"/>
        <v>95</v>
      </c>
      <c r="Q151">
        <f t="shared" si="75"/>
        <v>80</v>
      </c>
      <c r="R151">
        <f t="shared" si="75"/>
        <v>100</v>
      </c>
      <c r="S151">
        <f t="shared" si="75"/>
        <v>85</v>
      </c>
      <c r="T151">
        <f t="shared" si="75"/>
        <v>90</v>
      </c>
      <c r="U151">
        <f t="shared" si="75"/>
        <v>80</v>
      </c>
    </row>
    <row r="152" spans="2:21">
      <c r="B152">
        <v>16</v>
      </c>
      <c r="C152">
        <v>18</v>
      </c>
      <c r="D152">
        <v>16</v>
      </c>
      <c r="E152">
        <v>16</v>
      </c>
      <c r="F152">
        <v>18</v>
      </c>
      <c r="G152">
        <v>19</v>
      </c>
      <c r="H152">
        <v>16</v>
      </c>
      <c r="I152">
        <v>18</v>
      </c>
      <c r="J152">
        <v>19</v>
      </c>
      <c r="M152">
        <f t="shared" ref="M152:U152" si="76">(B152/20)*100</f>
        <v>80</v>
      </c>
      <c r="N152">
        <f t="shared" si="76"/>
        <v>90</v>
      </c>
      <c r="O152">
        <f t="shared" si="76"/>
        <v>80</v>
      </c>
      <c r="P152">
        <f t="shared" si="76"/>
        <v>80</v>
      </c>
      <c r="Q152">
        <f t="shared" si="76"/>
        <v>90</v>
      </c>
      <c r="R152">
        <f t="shared" si="76"/>
        <v>95</v>
      </c>
      <c r="S152">
        <f t="shared" si="76"/>
        <v>80</v>
      </c>
      <c r="T152">
        <f t="shared" si="76"/>
        <v>90</v>
      </c>
      <c r="U152">
        <f t="shared" si="76"/>
        <v>95</v>
      </c>
    </row>
    <row r="153" spans="2:21">
      <c r="B153">
        <v>19</v>
      </c>
      <c r="C153">
        <v>16</v>
      </c>
      <c r="D153">
        <v>19</v>
      </c>
      <c r="E153">
        <v>20</v>
      </c>
      <c r="F153">
        <v>19</v>
      </c>
      <c r="G153">
        <v>18</v>
      </c>
      <c r="H153">
        <v>17</v>
      </c>
      <c r="I153">
        <v>18</v>
      </c>
      <c r="J153">
        <v>20</v>
      </c>
      <c r="M153">
        <f t="shared" ref="M153:U153" si="77">(B153/20)*100</f>
        <v>95</v>
      </c>
      <c r="N153">
        <f t="shared" si="77"/>
        <v>80</v>
      </c>
      <c r="O153">
        <f t="shared" si="77"/>
        <v>95</v>
      </c>
      <c r="P153">
        <f t="shared" si="77"/>
        <v>100</v>
      </c>
      <c r="Q153">
        <f t="shared" si="77"/>
        <v>95</v>
      </c>
      <c r="R153">
        <f t="shared" si="77"/>
        <v>90</v>
      </c>
      <c r="S153">
        <f t="shared" si="77"/>
        <v>85</v>
      </c>
      <c r="T153">
        <f t="shared" si="77"/>
        <v>90</v>
      </c>
      <c r="U153">
        <f t="shared" si="77"/>
        <v>100</v>
      </c>
    </row>
    <row r="154" spans="2:21">
      <c r="B154">
        <v>17</v>
      </c>
      <c r="C154">
        <v>18</v>
      </c>
      <c r="D154">
        <v>18</v>
      </c>
      <c r="E154">
        <v>17</v>
      </c>
      <c r="F154">
        <v>17</v>
      </c>
      <c r="G154">
        <v>18</v>
      </c>
      <c r="H154">
        <v>16</v>
      </c>
      <c r="I154">
        <v>16</v>
      </c>
      <c r="J154">
        <v>16</v>
      </c>
      <c r="M154">
        <f t="shared" ref="M154:U154" si="78">(B154/20)*100</f>
        <v>85</v>
      </c>
      <c r="N154">
        <f t="shared" si="78"/>
        <v>90</v>
      </c>
      <c r="O154">
        <f t="shared" si="78"/>
        <v>90</v>
      </c>
      <c r="P154">
        <f t="shared" si="78"/>
        <v>85</v>
      </c>
      <c r="Q154">
        <f t="shared" si="78"/>
        <v>85</v>
      </c>
      <c r="R154">
        <f t="shared" si="78"/>
        <v>90</v>
      </c>
      <c r="S154">
        <f t="shared" si="78"/>
        <v>80</v>
      </c>
      <c r="T154">
        <f t="shared" si="78"/>
        <v>80</v>
      </c>
      <c r="U154">
        <f t="shared" si="78"/>
        <v>80</v>
      </c>
    </row>
    <row r="155" spans="2:21">
      <c r="B155">
        <v>17</v>
      </c>
      <c r="C155">
        <v>19</v>
      </c>
      <c r="D155">
        <v>18</v>
      </c>
      <c r="E155">
        <v>17</v>
      </c>
      <c r="F155">
        <v>19</v>
      </c>
      <c r="G155">
        <v>19</v>
      </c>
      <c r="H155">
        <v>20</v>
      </c>
      <c r="I155">
        <v>18</v>
      </c>
      <c r="J155">
        <v>15</v>
      </c>
      <c r="M155">
        <f t="shared" ref="M155:U155" si="79">(B155/20)*100</f>
        <v>85</v>
      </c>
      <c r="N155">
        <f t="shared" si="79"/>
        <v>95</v>
      </c>
      <c r="O155">
        <f t="shared" si="79"/>
        <v>90</v>
      </c>
      <c r="P155">
        <f t="shared" si="79"/>
        <v>85</v>
      </c>
      <c r="Q155">
        <f t="shared" si="79"/>
        <v>95</v>
      </c>
      <c r="R155">
        <f t="shared" si="79"/>
        <v>95</v>
      </c>
      <c r="S155">
        <f t="shared" si="79"/>
        <v>100</v>
      </c>
      <c r="T155">
        <f t="shared" si="79"/>
        <v>90</v>
      </c>
      <c r="U155">
        <f t="shared" si="79"/>
        <v>75</v>
      </c>
    </row>
    <row r="159" spans="2:21">
      <c r="F159" t="s">
        <v>34</v>
      </c>
      <c r="P159" t="s">
        <v>37</v>
      </c>
    </row>
    <row r="160" spans="2:21">
      <c r="B160" t="s">
        <v>18</v>
      </c>
      <c r="C160" t="s">
        <v>19</v>
      </c>
      <c r="D160" t="s">
        <v>20</v>
      </c>
      <c r="E160" t="s">
        <v>21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M160" t="s">
        <v>18</v>
      </c>
      <c r="N160" t="s">
        <v>19</v>
      </c>
      <c r="O160" t="s">
        <v>20</v>
      </c>
      <c r="P160" t="s">
        <v>21</v>
      </c>
      <c r="Q160" t="s">
        <v>22</v>
      </c>
      <c r="R160" t="s">
        <v>23</v>
      </c>
      <c r="S160" t="s">
        <v>24</v>
      </c>
      <c r="T160" t="s">
        <v>25</v>
      </c>
      <c r="U160" t="s">
        <v>26</v>
      </c>
    </row>
    <row r="161" spans="2:21">
      <c r="B161">
        <v>17.3</v>
      </c>
      <c r="C161">
        <v>19.7</v>
      </c>
      <c r="D161">
        <v>21.1</v>
      </c>
      <c r="E161">
        <v>18.2</v>
      </c>
      <c r="F161">
        <v>16.7</v>
      </c>
      <c r="G161">
        <v>21.8</v>
      </c>
      <c r="H161">
        <v>19.7</v>
      </c>
      <c r="I161">
        <v>16.899999999999999</v>
      </c>
      <c r="J161">
        <v>18.399999999999999</v>
      </c>
      <c r="M161" s="1">
        <f t="shared" ref="M161:U161" si="80">B161/5</f>
        <v>3.46</v>
      </c>
      <c r="N161" s="1">
        <f t="shared" si="80"/>
        <v>3.94</v>
      </c>
      <c r="O161" s="1">
        <f t="shared" si="80"/>
        <v>4.22</v>
      </c>
      <c r="P161" s="1">
        <f t="shared" si="80"/>
        <v>3.64</v>
      </c>
      <c r="Q161" s="1">
        <f t="shared" si="80"/>
        <v>3.34</v>
      </c>
      <c r="R161" s="1">
        <f t="shared" si="80"/>
        <v>4.3600000000000003</v>
      </c>
      <c r="S161" s="1">
        <f t="shared" si="80"/>
        <v>3.94</v>
      </c>
      <c r="T161" s="1">
        <f t="shared" si="80"/>
        <v>3.38</v>
      </c>
      <c r="U161" s="1">
        <f t="shared" si="80"/>
        <v>3.68</v>
      </c>
    </row>
    <row r="162" spans="2:21">
      <c r="B162">
        <v>16.8</v>
      </c>
      <c r="C162">
        <v>16</v>
      </c>
      <c r="D162">
        <v>16.3</v>
      </c>
      <c r="E162">
        <v>21.3</v>
      </c>
      <c r="F162">
        <v>16.600000000000001</v>
      </c>
      <c r="G162">
        <v>26.3</v>
      </c>
      <c r="H162">
        <v>18.2</v>
      </c>
      <c r="I162">
        <v>12.3</v>
      </c>
      <c r="J162">
        <v>16.2</v>
      </c>
      <c r="M162" s="1">
        <f t="shared" ref="M162:U162" si="81">B162/5</f>
        <v>3.36</v>
      </c>
      <c r="N162" s="1">
        <f t="shared" si="81"/>
        <v>3.2</v>
      </c>
      <c r="O162" s="1">
        <f t="shared" si="81"/>
        <v>3.26</v>
      </c>
      <c r="P162" s="1">
        <f t="shared" si="81"/>
        <v>4.26</v>
      </c>
      <c r="Q162" s="1">
        <f t="shared" si="81"/>
        <v>3.32</v>
      </c>
      <c r="R162" s="1">
        <f t="shared" si="81"/>
        <v>5.26</v>
      </c>
      <c r="S162" s="1">
        <f t="shared" si="81"/>
        <v>3.64</v>
      </c>
      <c r="T162" s="1">
        <f t="shared" si="81"/>
        <v>2.46</v>
      </c>
      <c r="U162" s="1">
        <f t="shared" si="81"/>
        <v>3.24</v>
      </c>
    </row>
    <row r="163" spans="2:21">
      <c r="B163">
        <v>17.5</v>
      </c>
      <c r="C163">
        <v>16.7</v>
      </c>
      <c r="D163">
        <v>21.2</v>
      </c>
      <c r="E163">
        <v>21.3</v>
      </c>
      <c r="F163">
        <v>16.399999999999999</v>
      </c>
      <c r="G163">
        <v>20</v>
      </c>
      <c r="H163">
        <v>17.899999999999999</v>
      </c>
      <c r="I163">
        <v>12.4</v>
      </c>
      <c r="J163">
        <v>21</v>
      </c>
      <c r="M163" s="1">
        <f t="shared" ref="M163:U163" si="82">B163/5</f>
        <v>3.5</v>
      </c>
      <c r="N163" s="1">
        <f t="shared" si="82"/>
        <v>3.34</v>
      </c>
      <c r="O163" s="1">
        <f t="shared" si="82"/>
        <v>4.24</v>
      </c>
      <c r="P163" s="1">
        <f t="shared" si="82"/>
        <v>4.26</v>
      </c>
      <c r="Q163" s="1">
        <f t="shared" si="82"/>
        <v>3.28</v>
      </c>
      <c r="R163" s="1">
        <f t="shared" si="82"/>
        <v>4</v>
      </c>
      <c r="S163" s="1">
        <f t="shared" si="82"/>
        <v>3.58</v>
      </c>
      <c r="T163" s="1">
        <f t="shared" si="82"/>
        <v>2.48</v>
      </c>
      <c r="U163" s="1">
        <f t="shared" si="82"/>
        <v>4.2</v>
      </c>
    </row>
    <row r="164" spans="2:21">
      <c r="B164">
        <v>10.4</v>
      </c>
      <c r="C164">
        <v>15.3</v>
      </c>
      <c r="D164">
        <v>16.5</v>
      </c>
      <c r="E164">
        <v>18.399999999999999</v>
      </c>
      <c r="F164">
        <v>17.3</v>
      </c>
      <c r="G164">
        <v>16.899999999999999</v>
      </c>
      <c r="H164">
        <v>17</v>
      </c>
      <c r="I164">
        <v>19.399999999999999</v>
      </c>
      <c r="J164">
        <v>17.100000000000001</v>
      </c>
      <c r="M164" s="1">
        <f t="shared" ref="M164:U164" si="83">B164/5</f>
        <v>2.08</v>
      </c>
      <c r="N164" s="1">
        <f t="shared" si="83"/>
        <v>3.06</v>
      </c>
      <c r="O164" s="1">
        <f t="shared" si="83"/>
        <v>3.3</v>
      </c>
      <c r="P164" s="1">
        <f t="shared" si="83"/>
        <v>3.68</v>
      </c>
      <c r="Q164" s="1">
        <f t="shared" si="83"/>
        <v>3.46</v>
      </c>
      <c r="R164" s="1">
        <f t="shared" si="83"/>
        <v>3.38</v>
      </c>
      <c r="S164" s="1">
        <f t="shared" si="83"/>
        <v>3.4</v>
      </c>
      <c r="T164" s="1">
        <f t="shared" si="83"/>
        <v>3.88</v>
      </c>
      <c r="U164" s="1">
        <f t="shared" si="83"/>
        <v>3.42</v>
      </c>
    </row>
    <row r="165" spans="2:21">
      <c r="B165">
        <v>15.3</v>
      </c>
      <c r="C165">
        <v>20.2</v>
      </c>
      <c r="D165">
        <v>17.2</v>
      </c>
      <c r="E165">
        <v>16.600000000000001</v>
      </c>
      <c r="F165">
        <v>20.9</v>
      </c>
      <c r="G165">
        <v>15.8</v>
      </c>
      <c r="H165">
        <v>18.7</v>
      </c>
      <c r="I165">
        <v>19.899999999999999</v>
      </c>
      <c r="J165">
        <v>17.2</v>
      </c>
      <c r="M165" s="1">
        <f t="shared" ref="M165:U165" si="84">B165/5</f>
        <v>3.06</v>
      </c>
      <c r="N165" s="1">
        <f t="shared" si="84"/>
        <v>4.04</v>
      </c>
      <c r="O165" s="1">
        <f t="shared" si="84"/>
        <v>3.44</v>
      </c>
      <c r="P165" s="1">
        <f t="shared" si="84"/>
        <v>3.32</v>
      </c>
      <c r="Q165" s="1">
        <f t="shared" si="84"/>
        <v>4.18</v>
      </c>
      <c r="R165" s="1">
        <f t="shared" si="84"/>
        <v>3.16</v>
      </c>
      <c r="S165" s="1">
        <f t="shared" si="84"/>
        <v>3.74</v>
      </c>
      <c r="T165" s="1">
        <f t="shared" si="84"/>
        <v>3.98</v>
      </c>
      <c r="U165" s="1">
        <f t="shared" si="84"/>
        <v>3.44</v>
      </c>
    </row>
    <row r="166" spans="2:21">
      <c r="B166">
        <v>14</v>
      </c>
      <c r="C166">
        <v>16</v>
      </c>
      <c r="D166">
        <v>18.600000000000001</v>
      </c>
      <c r="E166">
        <v>21.3</v>
      </c>
      <c r="F166">
        <v>16.600000000000001</v>
      </c>
      <c r="G166">
        <v>16.7</v>
      </c>
      <c r="H166">
        <v>15.5</v>
      </c>
      <c r="I166">
        <v>12.3</v>
      </c>
      <c r="J166">
        <v>16.100000000000001</v>
      </c>
      <c r="M166" s="1">
        <f t="shared" ref="M166:U166" si="85">B166/5</f>
        <v>2.8</v>
      </c>
      <c r="N166" s="1">
        <f t="shared" si="85"/>
        <v>3.2</v>
      </c>
      <c r="O166" s="1">
        <f t="shared" si="85"/>
        <v>3.72</v>
      </c>
      <c r="P166" s="1">
        <f t="shared" si="85"/>
        <v>4.26</v>
      </c>
      <c r="Q166" s="1">
        <f t="shared" si="85"/>
        <v>3.32</v>
      </c>
      <c r="R166" s="1">
        <f t="shared" si="85"/>
        <v>3.34</v>
      </c>
      <c r="S166" s="1">
        <f t="shared" si="85"/>
        <v>3.1</v>
      </c>
      <c r="T166" s="1">
        <f t="shared" si="85"/>
        <v>2.46</v>
      </c>
      <c r="U166" s="1">
        <f t="shared" si="85"/>
        <v>3.22</v>
      </c>
    </row>
    <row r="167" spans="2:21">
      <c r="B167">
        <v>17.3</v>
      </c>
      <c r="C167">
        <v>16.8</v>
      </c>
      <c r="D167">
        <v>22</v>
      </c>
      <c r="E167">
        <v>18.899999999999999</v>
      </c>
      <c r="F167">
        <v>22.4</v>
      </c>
      <c r="G167">
        <v>16.8</v>
      </c>
      <c r="H167">
        <v>17.8</v>
      </c>
      <c r="I167">
        <v>19.600000000000001</v>
      </c>
      <c r="J167">
        <v>15.8</v>
      </c>
      <c r="M167" s="1">
        <f t="shared" ref="M167:U167" si="86">B167/5</f>
        <v>3.46</v>
      </c>
      <c r="N167" s="1">
        <f t="shared" si="86"/>
        <v>3.36</v>
      </c>
      <c r="O167" s="1">
        <f t="shared" si="86"/>
        <v>4.4000000000000004</v>
      </c>
      <c r="P167" s="1">
        <f t="shared" si="86"/>
        <v>3.78</v>
      </c>
      <c r="Q167" s="1">
        <f t="shared" si="86"/>
        <v>4.4800000000000004</v>
      </c>
      <c r="R167" s="1">
        <f t="shared" si="86"/>
        <v>3.36</v>
      </c>
      <c r="S167" s="1">
        <f t="shared" si="86"/>
        <v>3.56</v>
      </c>
      <c r="T167" s="1">
        <f t="shared" si="86"/>
        <v>3.92</v>
      </c>
      <c r="U167" s="1">
        <f t="shared" si="86"/>
        <v>3.16</v>
      </c>
    </row>
    <row r="168" spans="2:21">
      <c r="B168">
        <v>17.399999999999999</v>
      </c>
      <c r="C168">
        <v>24.8</v>
      </c>
      <c r="D168">
        <v>17.600000000000001</v>
      </c>
      <c r="E168">
        <v>18</v>
      </c>
      <c r="F168">
        <v>16.600000000000001</v>
      </c>
      <c r="G168">
        <v>15.3</v>
      </c>
      <c r="H168">
        <v>18.8</v>
      </c>
      <c r="I168">
        <v>15.4</v>
      </c>
      <c r="J168">
        <v>15.5</v>
      </c>
      <c r="M168" s="1">
        <f t="shared" ref="M168:U168" si="87">B168/5</f>
        <v>3.48</v>
      </c>
      <c r="N168" s="1">
        <f t="shared" si="87"/>
        <v>4.96</v>
      </c>
      <c r="O168" s="1">
        <f t="shared" si="87"/>
        <v>3.52</v>
      </c>
      <c r="P168" s="1">
        <f t="shared" si="87"/>
        <v>3.6</v>
      </c>
      <c r="Q168" s="1">
        <f t="shared" si="87"/>
        <v>3.32</v>
      </c>
      <c r="R168" s="1">
        <f t="shared" si="87"/>
        <v>3.06</v>
      </c>
      <c r="S168" s="1">
        <f t="shared" si="87"/>
        <v>3.76</v>
      </c>
      <c r="T168" s="1">
        <f t="shared" si="87"/>
        <v>3.08</v>
      </c>
      <c r="U168" s="1">
        <f t="shared" si="87"/>
        <v>3.1</v>
      </c>
    </row>
    <row r="169" spans="2:21">
      <c r="B169">
        <v>13</v>
      </c>
      <c r="C169">
        <v>19.600000000000001</v>
      </c>
      <c r="D169">
        <v>21.7</v>
      </c>
      <c r="E169">
        <v>19.3</v>
      </c>
      <c r="F169">
        <v>16.8</v>
      </c>
      <c r="G169">
        <v>15.9</v>
      </c>
      <c r="H169">
        <v>16.600000000000001</v>
      </c>
      <c r="I169">
        <v>17.100000000000001</v>
      </c>
      <c r="J169">
        <v>15</v>
      </c>
      <c r="M169" s="1">
        <f t="shared" ref="M169:U169" si="88">B169/5</f>
        <v>2.6</v>
      </c>
      <c r="N169" s="1">
        <f t="shared" si="88"/>
        <v>3.92</v>
      </c>
      <c r="O169" s="1">
        <f t="shared" si="88"/>
        <v>4.34</v>
      </c>
      <c r="P169" s="1">
        <f t="shared" si="88"/>
        <v>3.86</v>
      </c>
      <c r="Q169" s="1">
        <f t="shared" si="88"/>
        <v>3.36</v>
      </c>
      <c r="R169" s="1">
        <f t="shared" si="88"/>
        <v>3.18</v>
      </c>
      <c r="S169" s="1">
        <f t="shared" si="88"/>
        <v>3.32</v>
      </c>
      <c r="T169" s="1">
        <f t="shared" si="88"/>
        <v>3.42</v>
      </c>
      <c r="U169" s="1">
        <f t="shared" si="88"/>
        <v>3</v>
      </c>
    </row>
    <row r="170" spans="2:21">
      <c r="B170">
        <v>12.6</v>
      </c>
      <c r="C170">
        <v>17.3</v>
      </c>
      <c r="D170">
        <v>21.1</v>
      </c>
      <c r="E170">
        <v>21.4</v>
      </c>
      <c r="F170">
        <v>16.899999999999999</v>
      </c>
      <c r="G170">
        <v>24.9</v>
      </c>
      <c r="H170">
        <v>15</v>
      </c>
      <c r="I170">
        <v>16.8</v>
      </c>
      <c r="J170">
        <v>18.2</v>
      </c>
      <c r="M170" s="1">
        <f t="shared" ref="M170:U170" si="89">B170/5</f>
        <v>2.52</v>
      </c>
      <c r="N170" s="1">
        <f t="shared" si="89"/>
        <v>3.46</v>
      </c>
      <c r="O170" s="1">
        <f t="shared" si="89"/>
        <v>4.22</v>
      </c>
      <c r="P170" s="1">
        <f t="shared" si="89"/>
        <v>4.28</v>
      </c>
      <c r="Q170" s="1">
        <f t="shared" si="89"/>
        <v>3.38</v>
      </c>
      <c r="R170" s="1">
        <f t="shared" si="89"/>
        <v>4.9800000000000004</v>
      </c>
      <c r="S170" s="1">
        <f t="shared" si="89"/>
        <v>3</v>
      </c>
      <c r="T170" s="1">
        <f t="shared" si="89"/>
        <v>3.36</v>
      </c>
      <c r="U170" s="1">
        <f t="shared" si="89"/>
        <v>3.64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>
  <dimension ref="A1:X110"/>
  <sheetViews>
    <sheetView topLeftCell="I29" workbookViewId="0">
      <selection activeCell="AA40" sqref="AA40"/>
    </sheetView>
  </sheetViews>
  <sheetFormatPr baseColWidth="10" defaultColWidth="9.140625" defaultRowHeight="15"/>
  <cols>
    <col min="2" max="2" width="12.85546875"/>
  </cols>
  <sheetData>
    <row r="1" spans="2:24">
      <c r="M1" t="s">
        <v>1</v>
      </c>
    </row>
    <row r="2" spans="2:24">
      <c r="M2" t="s">
        <v>2</v>
      </c>
    </row>
    <row r="3" spans="2:24">
      <c r="M3" t="s">
        <v>3</v>
      </c>
    </row>
    <row r="4" spans="2:24">
      <c r="E4" t="s">
        <v>16</v>
      </c>
      <c r="M4" t="s">
        <v>4</v>
      </c>
    </row>
    <row r="5" spans="2:24">
      <c r="F5" t="s">
        <v>17</v>
      </c>
      <c r="M5" t="s">
        <v>5</v>
      </c>
    </row>
    <row r="6" spans="2:24"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M6" t="s">
        <v>6</v>
      </c>
    </row>
    <row r="7" spans="2:24">
      <c r="B7">
        <v>15</v>
      </c>
      <c r="C7">
        <v>15</v>
      </c>
      <c r="D7">
        <v>10</v>
      </c>
      <c r="E7">
        <v>20</v>
      </c>
      <c r="F7">
        <v>40</v>
      </c>
      <c r="G7">
        <v>15</v>
      </c>
      <c r="H7">
        <v>10</v>
      </c>
      <c r="I7">
        <v>15</v>
      </c>
      <c r="J7">
        <v>30</v>
      </c>
      <c r="M7" t="s">
        <v>7</v>
      </c>
    </row>
    <row r="8" spans="2:24">
      <c r="B8">
        <v>25</v>
      </c>
      <c r="C8">
        <v>25</v>
      </c>
      <c r="D8">
        <v>35</v>
      </c>
      <c r="E8">
        <v>15</v>
      </c>
      <c r="F8">
        <v>25</v>
      </c>
      <c r="G8">
        <v>35</v>
      </c>
      <c r="H8">
        <v>15</v>
      </c>
      <c r="I8">
        <v>20</v>
      </c>
      <c r="J8">
        <v>20</v>
      </c>
      <c r="M8" t="s">
        <v>8</v>
      </c>
    </row>
    <row r="9" spans="2:24">
      <c r="B9">
        <v>20</v>
      </c>
      <c r="C9">
        <v>20</v>
      </c>
      <c r="D9">
        <v>30</v>
      </c>
      <c r="E9">
        <v>20</v>
      </c>
      <c r="F9">
        <v>30</v>
      </c>
      <c r="G9">
        <v>35</v>
      </c>
      <c r="H9">
        <v>10</v>
      </c>
      <c r="I9">
        <v>30</v>
      </c>
      <c r="J9">
        <v>5</v>
      </c>
      <c r="M9" t="s">
        <v>9</v>
      </c>
    </row>
    <row r="10" spans="2:24">
      <c r="B10">
        <v>15</v>
      </c>
      <c r="C10">
        <v>10</v>
      </c>
      <c r="D10">
        <v>25</v>
      </c>
      <c r="E10">
        <v>10</v>
      </c>
      <c r="F10">
        <v>30</v>
      </c>
      <c r="G10">
        <v>20</v>
      </c>
      <c r="H10">
        <v>15</v>
      </c>
      <c r="I10">
        <v>20</v>
      </c>
      <c r="J10">
        <v>45</v>
      </c>
      <c r="M10" t="s">
        <v>10</v>
      </c>
    </row>
    <row r="11" spans="2:24">
      <c r="B11">
        <v>20</v>
      </c>
      <c r="C11">
        <v>40</v>
      </c>
      <c r="D11">
        <v>25</v>
      </c>
      <c r="E11">
        <v>10</v>
      </c>
      <c r="F11">
        <v>45</v>
      </c>
      <c r="G11">
        <v>25</v>
      </c>
      <c r="H11">
        <v>10</v>
      </c>
      <c r="I11">
        <v>15</v>
      </c>
      <c r="J11">
        <v>35</v>
      </c>
    </row>
    <row r="12" spans="2:24">
      <c r="B12">
        <v>40</v>
      </c>
      <c r="C12">
        <v>20</v>
      </c>
      <c r="D12">
        <v>15</v>
      </c>
      <c r="E12">
        <v>20</v>
      </c>
      <c r="F12">
        <v>10</v>
      </c>
      <c r="G12">
        <v>30</v>
      </c>
      <c r="H12">
        <v>20</v>
      </c>
      <c r="I12">
        <v>50</v>
      </c>
      <c r="J12">
        <v>40</v>
      </c>
    </row>
    <row r="13" spans="2:24">
      <c r="B13">
        <v>25</v>
      </c>
      <c r="C13">
        <v>25</v>
      </c>
      <c r="D13">
        <v>20</v>
      </c>
      <c r="E13">
        <v>15</v>
      </c>
      <c r="F13">
        <v>25</v>
      </c>
      <c r="G13">
        <v>30</v>
      </c>
      <c r="H13">
        <v>25</v>
      </c>
      <c r="I13">
        <v>30</v>
      </c>
      <c r="J13">
        <v>30</v>
      </c>
    </row>
    <row r="14" spans="2:24">
      <c r="B14">
        <v>20</v>
      </c>
      <c r="C14">
        <v>30</v>
      </c>
      <c r="D14">
        <v>35</v>
      </c>
      <c r="E14">
        <v>15</v>
      </c>
      <c r="F14">
        <v>40</v>
      </c>
      <c r="G14">
        <v>35</v>
      </c>
      <c r="H14">
        <v>30</v>
      </c>
      <c r="I14">
        <v>45</v>
      </c>
      <c r="J14">
        <v>20</v>
      </c>
      <c r="O14" s="5"/>
      <c r="P14" s="5"/>
      <c r="Q14" s="10" t="s">
        <v>16</v>
      </c>
      <c r="R14" s="5"/>
      <c r="S14" s="5"/>
      <c r="T14" s="5"/>
    </row>
    <row r="15" spans="2:24">
      <c r="B15">
        <v>15</v>
      </c>
      <c r="C15">
        <v>30</v>
      </c>
      <c r="D15">
        <v>20</v>
      </c>
      <c r="E15">
        <v>20</v>
      </c>
      <c r="F15">
        <v>20</v>
      </c>
      <c r="G15">
        <v>15</v>
      </c>
      <c r="H15">
        <v>30</v>
      </c>
      <c r="I15">
        <v>25</v>
      </c>
      <c r="J15">
        <v>30</v>
      </c>
      <c r="O15" s="10" t="s">
        <v>81</v>
      </c>
      <c r="P15" s="5"/>
      <c r="Q15" s="5"/>
      <c r="R15" s="5"/>
      <c r="S15" s="5"/>
      <c r="T15" s="5"/>
    </row>
    <row r="16" spans="2:24">
      <c r="B16">
        <v>25</v>
      </c>
      <c r="C16">
        <v>40</v>
      </c>
      <c r="D16">
        <v>20</v>
      </c>
      <c r="E16">
        <v>25</v>
      </c>
      <c r="F16">
        <v>30</v>
      </c>
      <c r="G16">
        <v>25</v>
      </c>
      <c r="H16">
        <v>35</v>
      </c>
      <c r="I16">
        <v>30</v>
      </c>
      <c r="J16">
        <v>15</v>
      </c>
      <c r="P16" t="s">
        <v>18</v>
      </c>
      <c r="Q16" t="s">
        <v>19</v>
      </c>
      <c r="R16" t="s">
        <v>20</v>
      </c>
      <c r="S16" t="s">
        <v>21</v>
      </c>
      <c r="T16" t="s">
        <v>22</v>
      </c>
      <c r="U16" t="s">
        <v>23</v>
      </c>
      <c r="V16" t="s">
        <v>24</v>
      </c>
      <c r="W16" t="s">
        <v>25</v>
      </c>
      <c r="X16" t="s">
        <v>26</v>
      </c>
    </row>
    <row r="17" spans="1:24">
      <c r="A17" t="s">
        <v>27</v>
      </c>
      <c r="B17">
        <f t="shared" ref="B17:J17" si="0">AVERAGE(B7:B16)</f>
        <v>22</v>
      </c>
      <c r="C17">
        <f t="shared" si="0"/>
        <v>25.5</v>
      </c>
      <c r="D17">
        <f t="shared" si="0"/>
        <v>23.5</v>
      </c>
      <c r="E17">
        <f t="shared" si="0"/>
        <v>17</v>
      </c>
      <c r="F17">
        <f t="shared" si="0"/>
        <v>29.5</v>
      </c>
      <c r="G17">
        <f t="shared" si="0"/>
        <v>26.5</v>
      </c>
      <c r="H17">
        <f t="shared" si="0"/>
        <v>20</v>
      </c>
      <c r="I17">
        <f t="shared" si="0"/>
        <v>28</v>
      </c>
      <c r="J17">
        <f t="shared" si="0"/>
        <v>27</v>
      </c>
      <c r="O17" t="s">
        <v>107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</row>
    <row r="18" spans="1:24">
      <c r="A18" t="s">
        <v>28</v>
      </c>
      <c r="B18" s="1">
        <f t="shared" ref="B18:J18" si="1">STDEV(B7:B16)</f>
        <v>7.5277265270908096</v>
      </c>
      <c r="C18" s="1">
        <f t="shared" si="1"/>
        <v>9.8460369918279493</v>
      </c>
      <c r="D18" s="1">
        <f t="shared" si="1"/>
        <v>8.1819584724223908</v>
      </c>
      <c r="E18" s="1">
        <f t="shared" si="1"/>
        <v>4.8304589153964796</v>
      </c>
      <c r="F18" s="1">
        <f t="shared" si="1"/>
        <v>10.394977419675101</v>
      </c>
      <c r="G18" s="1">
        <f t="shared" si="1"/>
        <v>7.83510618236211</v>
      </c>
      <c r="H18" s="1">
        <f t="shared" si="1"/>
        <v>9.4280904158206305</v>
      </c>
      <c r="I18" s="1">
        <f t="shared" si="1"/>
        <v>11.8321595661992</v>
      </c>
      <c r="J18" s="1">
        <f t="shared" si="1"/>
        <v>12.0646407139026</v>
      </c>
      <c r="O18" t="s">
        <v>17</v>
      </c>
      <c r="P18">
        <v>22</v>
      </c>
      <c r="Q18">
        <v>25.5</v>
      </c>
      <c r="R18">
        <v>23.5</v>
      </c>
      <c r="S18">
        <v>17</v>
      </c>
      <c r="T18">
        <v>29.5</v>
      </c>
      <c r="U18">
        <v>26.5</v>
      </c>
      <c r="V18">
        <v>20</v>
      </c>
      <c r="W18">
        <v>28</v>
      </c>
      <c r="X18">
        <v>27</v>
      </c>
    </row>
    <row r="19" spans="1:24">
      <c r="A19" t="s">
        <v>29</v>
      </c>
      <c r="B19" s="1">
        <f t="shared" ref="B19:J19" si="2">CONFIDENCE(0.05,B18,10)</f>
        <v>4.6656475060381499</v>
      </c>
      <c r="C19" s="1">
        <f t="shared" si="2"/>
        <v>6.1025248154219103</v>
      </c>
      <c r="D19" s="1">
        <f t="shared" si="2"/>
        <v>5.0711372157296104</v>
      </c>
      <c r="E19" s="1">
        <f t="shared" si="2"/>
        <v>2.9938944395140199</v>
      </c>
      <c r="F19" s="1">
        <f t="shared" si="2"/>
        <v>6.4427553656327303</v>
      </c>
      <c r="G19" s="1">
        <f t="shared" si="2"/>
        <v>4.8561598894067899</v>
      </c>
      <c r="H19" s="1">
        <f t="shared" si="2"/>
        <v>5.8434836038438798</v>
      </c>
      <c r="I19" s="1">
        <f t="shared" si="2"/>
        <v>7.3335137205651799</v>
      </c>
      <c r="J19" s="1">
        <f t="shared" si="2"/>
        <v>7.4776043810161701</v>
      </c>
      <c r="O19" t="s">
        <v>30</v>
      </c>
      <c r="P19">
        <v>76</v>
      </c>
      <c r="Q19">
        <v>83.5</v>
      </c>
      <c r="R19">
        <v>81</v>
      </c>
      <c r="S19">
        <v>82.5</v>
      </c>
      <c r="T19">
        <v>85</v>
      </c>
      <c r="U19">
        <v>86</v>
      </c>
      <c r="V19">
        <v>78.5</v>
      </c>
      <c r="W19">
        <v>83</v>
      </c>
      <c r="X19">
        <v>84.5</v>
      </c>
    </row>
    <row r="20" spans="1:24">
      <c r="O20" t="s">
        <v>31</v>
      </c>
      <c r="P20">
        <v>82</v>
      </c>
      <c r="Q20">
        <v>85</v>
      </c>
      <c r="R20">
        <v>84.5</v>
      </c>
      <c r="S20">
        <v>90</v>
      </c>
      <c r="T20">
        <v>88.5</v>
      </c>
      <c r="U20">
        <v>88.5</v>
      </c>
      <c r="V20">
        <v>83.5</v>
      </c>
      <c r="W20">
        <v>88</v>
      </c>
      <c r="X20">
        <v>85</v>
      </c>
    </row>
    <row r="21" spans="1:24">
      <c r="O21" t="s">
        <v>32</v>
      </c>
      <c r="P21">
        <v>86.5</v>
      </c>
      <c r="Q21">
        <v>88</v>
      </c>
      <c r="R21">
        <v>89</v>
      </c>
      <c r="S21">
        <v>92.5</v>
      </c>
      <c r="T21">
        <v>90.5</v>
      </c>
      <c r="U21">
        <v>90.5</v>
      </c>
      <c r="V21">
        <v>86.5</v>
      </c>
      <c r="W21">
        <v>90</v>
      </c>
      <c r="X21">
        <v>87.5</v>
      </c>
    </row>
    <row r="22" spans="1:24">
      <c r="F22" t="s">
        <v>30</v>
      </c>
      <c r="O22" t="s">
        <v>33</v>
      </c>
      <c r="P22">
        <v>86.5</v>
      </c>
      <c r="Q22">
        <v>88</v>
      </c>
      <c r="R22">
        <v>89</v>
      </c>
      <c r="S22">
        <v>92.5</v>
      </c>
      <c r="T22">
        <v>90.5</v>
      </c>
      <c r="U22">
        <v>90.5</v>
      </c>
      <c r="V22">
        <v>86.5</v>
      </c>
      <c r="W22">
        <v>90</v>
      </c>
      <c r="X22">
        <v>87.5</v>
      </c>
    </row>
    <row r="23" spans="1:24">
      <c r="B23">
        <v>60</v>
      </c>
      <c r="C23">
        <v>75</v>
      </c>
      <c r="D23">
        <v>90</v>
      </c>
      <c r="E23">
        <v>95</v>
      </c>
      <c r="F23">
        <v>80</v>
      </c>
      <c r="G23">
        <v>85</v>
      </c>
      <c r="H23">
        <v>80</v>
      </c>
      <c r="I23">
        <v>90</v>
      </c>
      <c r="J23">
        <v>85</v>
      </c>
      <c r="O23" t="s">
        <v>40</v>
      </c>
    </row>
    <row r="24" spans="1:24">
      <c r="B24">
        <v>80</v>
      </c>
      <c r="C24">
        <v>90</v>
      </c>
      <c r="D24">
        <v>70</v>
      </c>
      <c r="E24">
        <v>80</v>
      </c>
      <c r="F24">
        <v>100</v>
      </c>
      <c r="G24">
        <v>80</v>
      </c>
      <c r="H24">
        <v>65</v>
      </c>
      <c r="I24">
        <v>90</v>
      </c>
      <c r="J24">
        <v>85</v>
      </c>
    </row>
    <row r="25" spans="1:24">
      <c r="B25">
        <v>85</v>
      </c>
      <c r="C25">
        <v>75</v>
      </c>
      <c r="D25">
        <v>85</v>
      </c>
      <c r="E25">
        <v>75</v>
      </c>
      <c r="F25">
        <v>80</v>
      </c>
      <c r="G25">
        <v>100</v>
      </c>
      <c r="H25">
        <v>85</v>
      </c>
      <c r="I25">
        <v>90</v>
      </c>
      <c r="J25">
        <v>75</v>
      </c>
      <c r="P25" t="s">
        <v>18</v>
      </c>
      <c r="Q25" t="s">
        <v>19</v>
      </c>
      <c r="R25" t="s">
        <v>20</v>
      </c>
      <c r="S25" t="s">
        <v>21</v>
      </c>
      <c r="T25" t="s">
        <v>22</v>
      </c>
      <c r="U25" t="s">
        <v>23</v>
      </c>
      <c r="V25" t="s">
        <v>24</v>
      </c>
      <c r="W25" t="s">
        <v>25</v>
      </c>
      <c r="X25" t="s">
        <v>26</v>
      </c>
    </row>
    <row r="26" spans="1:24">
      <c r="B26">
        <v>65</v>
      </c>
      <c r="C26">
        <v>80</v>
      </c>
      <c r="D26">
        <v>90</v>
      </c>
      <c r="E26">
        <v>85</v>
      </c>
      <c r="F26">
        <v>70</v>
      </c>
      <c r="G26">
        <v>70</v>
      </c>
      <c r="H26">
        <v>75</v>
      </c>
      <c r="I26">
        <v>85</v>
      </c>
      <c r="J26">
        <v>95</v>
      </c>
      <c r="O26" t="s">
        <v>107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</row>
    <row r="27" spans="1:24">
      <c r="B27">
        <v>70</v>
      </c>
      <c r="C27">
        <v>100</v>
      </c>
      <c r="D27">
        <v>75</v>
      </c>
      <c r="E27">
        <v>65</v>
      </c>
      <c r="F27">
        <v>95</v>
      </c>
      <c r="G27">
        <v>75</v>
      </c>
      <c r="H27">
        <v>85</v>
      </c>
      <c r="I27">
        <v>90</v>
      </c>
      <c r="J27">
        <v>80</v>
      </c>
      <c r="O27" t="s">
        <v>17</v>
      </c>
      <c r="P27">
        <v>4.6656475060381499</v>
      </c>
      <c r="Q27">
        <v>6.1025248154219103</v>
      </c>
      <c r="R27">
        <v>5.0711372157296104</v>
      </c>
      <c r="S27">
        <v>2.9938944395140199</v>
      </c>
      <c r="T27">
        <v>6.4427553656327303</v>
      </c>
      <c r="U27">
        <v>4.8561598894067899</v>
      </c>
      <c r="V27">
        <v>5.8434836038438798</v>
      </c>
      <c r="W27">
        <v>7.3335137205651799</v>
      </c>
      <c r="X27">
        <v>7.4776043810161701</v>
      </c>
    </row>
    <row r="28" spans="1:24">
      <c r="B28">
        <v>90</v>
      </c>
      <c r="C28">
        <v>65</v>
      </c>
      <c r="D28">
        <v>70</v>
      </c>
      <c r="E28">
        <v>95</v>
      </c>
      <c r="F28">
        <v>75</v>
      </c>
      <c r="G28">
        <v>90</v>
      </c>
      <c r="H28">
        <v>85</v>
      </c>
      <c r="I28">
        <v>75</v>
      </c>
      <c r="J28">
        <v>80</v>
      </c>
      <c r="O28" t="s">
        <v>30</v>
      </c>
      <c r="P28">
        <v>5.8068469818428401</v>
      </c>
      <c r="Q28">
        <v>6.5413747006996896</v>
      </c>
      <c r="R28">
        <v>4.57324929726013</v>
      </c>
      <c r="S28">
        <v>6.5739190543243602</v>
      </c>
      <c r="T28">
        <v>6.3677886268480801</v>
      </c>
      <c r="U28">
        <v>5.6200825689008198</v>
      </c>
      <c r="V28">
        <v>5.0711372157296104</v>
      </c>
      <c r="W28">
        <v>4.18329763130129</v>
      </c>
      <c r="X28">
        <v>5.9250877912116797</v>
      </c>
    </row>
    <row r="29" spans="1:24">
      <c r="B29">
        <v>75</v>
      </c>
      <c r="C29">
        <v>85</v>
      </c>
      <c r="D29">
        <v>80</v>
      </c>
      <c r="E29">
        <v>70</v>
      </c>
      <c r="F29">
        <v>80</v>
      </c>
      <c r="G29">
        <v>90</v>
      </c>
      <c r="H29">
        <v>65</v>
      </c>
      <c r="I29">
        <v>75</v>
      </c>
      <c r="J29">
        <v>95</v>
      </c>
      <c r="O29" t="s">
        <v>38</v>
      </c>
      <c r="P29">
        <v>3.3312982010362702</v>
      </c>
      <c r="Q29">
        <v>5.8434836038438798</v>
      </c>
      <c r="R29">
        <v>3.7101519430908199</v>
      </c>
      <c r="S29">
        <v>4.1319668820304098</v>
      </c>
      <c r="T29">
        <v>5.8526069249400301</v>
      </c>
      <c r="U29">
        <v>5.4758305524648003</v>
      </c>
      <c r="V29">
        <v>4.1448591657208098</v>
      </c>
      <c r="W29">
        <v>3.3312982010362702</v>
      </c>
      <c r="X29">
        <v>5.4660783977037104</v>
      </c>
    </row>
    <row r="30" spans="1:24">
      <c r="B30">
        <v>75</v>
      </c>
      <c r="C30">
        <v>80</v>
      </c>
      <c r="D30">
        <v>85</v>
      </c>
      <c r="E30">
        <v>95</v>
      </c>
      <c r="F30">
        <v>95</v>
      </c>
      <c r="G30">
        <v>85</v>
      </c>
      <c r="H30">
        <v>85</v>
      </c>
      <c r="I30">
        <v>75</v>
      </c>
      <c r="J30">
        <v>100</v>
      </c>
      <c r="O30" t="s">
        <v>32</v>
      </c>
      <c r="P30">
        <v>3.5932673049900998</v>
      </c>
      <c r="Q30">
        <v>5.3076075607022402</v>
      </c>
      <c r="R30">
        <v>3.5182430242653999</v>
      </c>
      <c r="S30">
        <v>4.4430653889841896</v>
      </c>
      <c r="T30">
        <v>5.1546183347041001</v>
      </c>
      <c r="U30">
        <v>4.7224784380575704</v>
      </c>
      <c r="V30">
        <v>4.1448591657208098</v>
      </c>
      <c r="W30">
        <v>2.5303026237633199</v>
      </c>
      <c r="X30">
        <v>5.3176503465240499</v>
      </c>
    </row>
    <row r="31" spans="1:24">
      <c r="B31">
        <v>85</v>
      </c>
      <c r="C31">
        <v>90</v>
      </c>
      <c r="D31">
        <v>85</v>
      </c>
      <c r="E31">
        <v>80</v>
      </c>
      <c r="F31">
        <v>80</v>
      </c>
      <c r="G31">
        <v>90</v>
      </c>
      <c r="H31">
        <v>75</v>
      </c>
      <c r="I31">
        <v>80</v>
      </c>
      <c r="J31">
        <v>80</v>
      </c>
      <c r="O31" t="s">
        <v>39</v>
      </c>
      <c r="P31">
        <v>3.5932673049900998</v>
      </c>
      <c r="Q31">
        <v>5.3076075607022402</v>
      </c>
      <c r="R31">
        <v>3.5182430242653999</v>
      </c>
      <c r="S31">
        <v>4.4430653889841896</v>
      </c>
      <c r="T31">
        <v>5.1546183347041001</v>
      </c>
      <c r="U31">
        <v>4.7224784380575704</v>
      </c>
      <c r="V31">
        <v>4.1448591657208098</v>
      </c>
      <c r="W31">
        <v>2.5303026237633199</v>
      </c>
      <c r="X31">
        <v>5.3176503465240499</v>
      </c>
    </row>
    <row r="32" spans="1:24">
      <c r="B32">
        <v>75</v>
      </c>
      <c r="C32">
        <v>95</v>
      </c>
      <c r="D32">
        <v>80</v>
      </c>
      <c r="E32">
        <v>85</v>
      </c>
      <c r="F32">
        <v>95</v>
      </c>
      <c r="G32">
        <v>95</v>
      </c>
      <c r="H32">
        <v>85</v>
      </c>
      <c r="I32">
        <v>80</v>
      </c>
      <c r="J32">
        <v>70</v>
      </c>
      <c r="O32" s="5"/>
      <c r="P32" s="5"/>
      <c r="Q32" s="5"/>
      <c r="R32" s="5"/>
      <c r="S32" s="5"/>
      <c r="T32" s="5"/>
    </row>
    <row r="33" spans="2:20">
      <c r="B33">
        <f t="shared" ref="B33:J33" si="3">AVERAGE(B23:B32)</f>
        <v>76</v>
      </c>
      <c r="C33">
        <f t="shared" si="3"/>
        <v>83.5</v>
      </c>
      <c r="D33">
        <f t="shared" si="3"/>
        <v>81</v>
      </c>
      <c r="E33">
        <f t="shared" si="3"/>
        <v>82.5</v>
      </c>
      <c r="F33">
        <f t="shared" si="3"/>
        <v>85</v>
      </c>
      <c r="G33">
        <f t="shared" si="3"/>
        <v>86</v>
      </c>
      <c r="H33">
        <f t="shared" si="3"/>
        <v>78.5</v>
      </c>
      <c r="I33">
        <f t="shared" si="3"/>
        <v>83</v>
      </c>
      <c r="J33">
        <f t="shared" si="3"/>
        <v>84.5</v>
      </c>
      <c r="O33" s="5"/>
      <c r="P33" s="5"/>
      <c r="Q33" s="5"/>
      <c r="R33" s="5"/>
      <c r="S33" s="5"/>
      <c r="T33" s="5"/>
    </row>
    <row r="34" spans="2:20">
      <c r="B34" s="1">
        <f t="shared" ref="B34:J34" si="4">STDEV(B23:B32)</f>
        <v>9.3689795483701293</v>
      </c>
      <c r="C34" s="1">
        <f t="shared" si="4"/>
        <v>10.5540934659917</v>
      </c>
      <c r="D34" s="1">
        <f t="shared" si="4"/>
        <v>7.3786478737262202</v>
      </c>
      <c r="E34" s="1">
        <f t="shared" si="4"/>
        <v>10.606601717798201</v>
      </c>
      <c r="F34" s="1">
        <f t="shared" si="4"/>
        <v>10.2740233382816</v>
      </c>
      <c r="G34" s="1">
        <f t="shared" si="4"/>
        <v>9.0676470058236305</v>
      </c>
      <c r="H34" s="1">
        <f t="shared" si="4"/>
        <v>8.1819584724223908</v>
      </c>
      <c r="I34" s="1">
        <f t="shared" si="4"/>
        <v>6.7494855771055304</v>
      </c>
      <c r="J34" s="1">
        <f t="shared" si="4"/>
        <v>9.5597535997999898</v>
      </c>
      <c r="O34" s="5"/>
      <c r="P34" s="5"/>
      <c r="Q34" s="5"/>
      <c r="R34" s="5"/>
      <c r="S34" s="5"/>
      <c r="T34" s="5"/>
    </row>
    <row r="35" spans="2:20">
      <c r="B35" s="1">
        <f t="shared" ref="B35:J35" si="5">CONFIDENCE(0.05,B34,10)</f>
        <v>5.8068469818428401</v>
      </c>
      <c r="C35" s="1">
        <f t="shared" si="5"/>
        <v>6.5413747006996896</v>
      </c>
      <c r="D35" s="1">
        <f t="shared" si="5"/>
        <v>4.57324929726013</v>
      </c>
      <c r="E35" s="1">
        <f t="shared" si="5"/>
        <v>6.5739190543243602</v>
      </c>
      <c r="F35" s="1">
        <f t="shared" si="5"/>
        <v>6.3677886268480801</v>
      </c>
      <c r="G35" s="1">
        <f t="shared" si="5"/>
        <v>5.6200825689008198</v>
      </c>
      <c r="H35" s="1">
        <f t="shared" si="5"/>
        <v>5.0711372157296104</v>
      </c>
      <c r="I35" s="1">
        <f t="shared" si="5"/>
        <v>4.18329763130129</v>
      </c>
      <c r="J35" s="1">
        <f t="shared" si="5"/>
        <v>5.9250877912116797</v>
      </c>
      <c r="O35" s="5"/>
      <c r="P35" s="5"/>
      <c r="Q35" s="5"/>
      <c r="R35" s="5"/>
      <c r="S35" s="5"/>
      <c r="T35" s="5"/>
    </row>
    <row r="36" spans="2:20">
      <c r="O36" s="5"/>
      <c r="P36" s="5"/>
      <c r="Q36" s="5"/>
      <c r="R36" s="5"/>
      <c r="S36" s="5"/>
      <c r="T36" s="5"/>
    </row>
    <row r="37" spans="2:20">
      <c r="O37" s="5"/>
      <c r="P37" s="5"/>
      <c r="Q37" s="5"/>
      <c r="R37" s="5"/>
      <c r="S37" s="5"/>
      <c r="T37" s="5"/>
    </row>
    <row r="38" spans="2:20">
      <c r="F38" t="s">
        <v>31</v>
      </c>
      <c r="O38" s="5"/>
      <c r="P38" s="5"/>
      <c r="Q38" s="5"/>
      <c r="R38" s="5"/>
      <c r="S38" s="5"/>
      <c r="T38" s="5"/>
    </row>
    <row r="39" spans="2:20">
      <c r="B39">
        <v>70</v>
      </c>
      <c r="C39">
        <v>75</v>
      </c>
      <c r="D39">
        <v>90</v>
      </c>
      <c r="E39">
        <v>100</v>
      </c>
      <c r="F39">
        <v>85</v>
      </c>
      <c r="G39">
        <v>85</v>
      </c>
      <c r="H39">
        <v>80</v>
      </c>
      <c r="I39">
        <v>95</v>
      </c>
      <c r="J39">
        <v>85</v>
      </c>
      <c r="O39" s="5"/>
      <c r="P39" s="5"/>
      <c r="Q39" s="5"/>
      <c r="R39" s="5"/>
      <c r="S39" s="5"/>
      <c r="T39" s="5"/>
    </row>
    <row r="40" spans="2:20">
      <c r="B40">
        <v>80</v>
      </c>
      <c r="C40">
        <v>90</v>
      </c>
      <c r="D40">
        <v>75</v>
      </c>
      <c r="E40">
        <v>90</v>
      </c>
      <c r="F40">
        <v>100</v>
      </c>
      <c r="G40">
        <v>85</v>
      </c>
      <c r="H40">
        <v>80</v>
      </c>
      <c r="I40">
        <v>90</v>
      </c>
      <c r="J40">
        <v>85</v>
      </c>
      <c r="O40" s="5"/>
      <c r="P40" s="5"/>
      <c r="Q40" s="5"/>
      <c r="R40" s="5"/>
      <c r="S40" s="5"/>
      <c r="T40" s="5"/>
    </row>
    <row r="41" spans="2:20">
      <c r="B41">
        <v>85</v>
      </c>
      <c r="C41">
        <v>80</v>
      </c>
      <c r="D41">
        <v>75</v>
      </c>
      <c r="E41">
        <v>90</v>
      </c>
      <c r="F41">
        <v>95</v>
      </c>
      <c r="G41">
        <v>100</v>
      </c>
      <c r="H41">
        <v>85</v>
      </c>
      <c r="I41">
        <v>90</v>
      </c>
      <c r="J41">
        <v>75</v>
      </c>
      <c r="O41" s="5"/>
      <c r="P41" s="5"/>
      <c r="Q41" s="5"/>
      <c r="R41" s="5"/>
      <c r="S41" s="5"/>
      <c r="T41" s="5"/>
    </row>
    <row r="42" spans="2:20">
      <c r="B42">
        <v>80</v>
      </c>
      <c r="C42">
        <v>80</v>
      </c>
      <c r="D42">
        <v>90</v>
      </c>
      <c r="E42">
        <v>95</v>
      </c>
      <c r="F42">
        <v>70</v>
      </c>
      <c r="G42">
        <v>70</v>
      </c>
      <c r="H42">
        <v>75</v>
      </c>
      <c r="I42">
        <v>90</v>
      </c>
      <c r="J42">
        <v>95</v>
      </c>
      <c r="O42" s="5"/>
      <c r="P42" s="5"/>
      <c r="Q42" s="5"/>
      <c r="R42" s="5"/>
      <c r="S42" s="5"/>
      <c r="T42" s="5"/>
    </row>
    <row r="43" spans="2:20">
      <c r="B43">
        <v>80</v>
      </c>
      <c r="C43">
        <v>100</v>
      </c>
      <c r="D43">
        <v>85</v>
      </c>
      <c r="E43">
        <v>90</v>
      </c>
      <c r="F43">
        <v>95</v>
      </c>
      <c r="G43">
        <v>80</v>
      </c>
      <c r="H43">
        <v>85</v>
      </c>
      <c r="I43">
        <v>95</v>
      </c>
      <c r="J43">
        <v>80</v>
      </c>
      <c r="O43" s="5"/>
      <c r="P43" s="5"/>
      <c r="Q43" s="5"/>
      <c r="R43" s="5"/>
      <c r="S43" s="5"/>
      <c r="T43" s="5"/>
    </row>
    <row r="44" spans="2:20">
      <c r="B44">
        <v>90</v>
      </c>
      <c r="C44">
        <v>70</v>
      </c>
      <c r="D44">
        <v>85</v>
      </c>
      <c r="E44">
        <v>85</v>
      </c>
      <c r="F44">
        <v>80</v>
      </c>
      <c r="G44">
        <v>95</v>
      </c>
      <c r="H44">
        <v>85</v>
      </c>
      <c r="I44">
        <v>80</v>
      </c>
      <c r="J44">
        <v>80</v>
      </c>
      <c r="O44" s="5"/>
      <c r="P44" s="5"/>
      <c r="Q44" s="5"/>
      <c r="R44" s="5"/>
      <c r="S44" s="5"/>
      <c r="T44" s="5"/>
    </row>
    <row r="45" spans="2:20">
      <c r="B45">
        <v>80</v>
      </c>
      <c r="C45">
        <v>90</v>
      </c>
      <c r="D45">
        <v>80</v>
      </c>
      <c r="E45">
        <v>80</v>
      </c>
      <c r="F45">
        <v>90</v>
      </c>
      <c r="G45">
        <v>95</v>
      </c>
      <c r="H45">
        <v>80</v>
      </c>
      <c r="I45">
        <v>90</v>
      </c>
      <c r="J45">
        <v>95</v>
      </c>
      <c r="O45" s="5"/>
      <c r="P45" s="5"/>
      <c r="Q45" s="5"/>
      <c r="R45" s="5"/>
      <c r="S45" s="5"/>
      <c r="T45" s="5"/>
    </row>
    <row r="46" spans="2:20">
      <c r="B46">
        <v>85</v>
      </c>
      <c r="C46">
        <v>80</v>
      </c>
      <c r="D46">
        <v>90</v>
      </c>
      <c r="E46">
        <v>100</v>
      </c>
      <c r="F46">
        <v>95</v>
      </c>
      <c r="G46">
        <v>90</v>
      </c>
      <c r="H46">
        <v>85</v>
      </c>
      <c r="I46">
        <v>85</v>
      </c>
      <c r="J46">
        <v>100</v>
      </c>
      <c r="O46" s="5"/>
      <c r="P46" s="5"/>
      <c r="Q46" s="5"/>
      <c r="R46" s="5"/>
      <c r="S46" s="5"/>
      <c r="T46" s="5"/>
    </row>
    <row r="47" spans="2:20">
      <c r="B47">
        <v>85</v>
      </c>
      <c r="C47">
        <v>90</v>
      </c>
      <c r="D47">
        <v>90</v>
      </c>
      <c r="E47">
        <v>85</v>
      </c>
      <c r="F47">
        <v>80</v>
      </c>
      <c r="G47">
        <v>90</v>
      </c>
      <c r="H47">
        <v>80</v>
      </c>
      <c r="I47">
        <v>80</v>
      </c>
      <c r="J47">
        <v>80</v>
      </c>
      <c r="O47" s="5"/>
      <c r="P47" s="5"/>
      <c r="Q47" s="5"/>
      <c r="R47" s="5"/>
      <c r="S47" s="5"/>
      <c r="T47" s="5"/>
    </row>
    <row r="48" spans="2:20">
      <c r="B48">
        <v>85</v>
      </c>
      <c r="C48">
        <v>95</v>
      </c>
      <c r="D48">
        <v>85</v>
      </c>
      <c r="E48">
        <v>85</v>
      </c>
      <c r="F48">
        <v>95</v>
      </c>
      <c r="G48">
        <v>95</v>
      </c>
      <c r="H48">
        <v>100</v>
      </c>
      <c r="I48">
        <v>85</v>
      </c>
      <c r="J48">
        <v>75</v>
      </c>
      <c r="O48" s="5"/>
      <c r="P48" s="5"/>
      <c r="Q48" s="5"/>
      <c r="R48" s="5"/>
      <c r="S48" s="5"/>
      <c r="T48" s="5"/>
    </row>
    <row r="49" spans="2:20">
      <c r="B49">
        <f t="shared" ref="B49:J49" si="6">AVERAGE(B39:B48)</f>
        <v>82</v>
      </c>
      <c r="C49">
        <f t="shared" si="6"/>
        <v>85</v>
      </c>
      <c r="D49">
        <f t="shared" si="6"/>
        <v>84.5</v>
      </c>
      <c r="E49">
        <f t="shared" si="6"/>
        <v>90</v>
      </c>
      <c r="F49">
        <f t="shared" si="6"/>
        <v>88.5</v>
      </c>
      <c r="G49">
        <f t="shared" si="6"/>
        <v>88.5</v>
      </c>
      <c r="H49">
        <f t="shared" si="6"/>
        <v>83.5</v>
      </c>
      <c r="I49">
        <f t="shared" si="6"/>
        <v>88</v>
      </c>
      <c r="J49">
        <f t="shared" si="6"/>
        <v>85</v>
      </c>
      <c r="O49" s="5"/>
      <c r="P49" s="5"/>
      <c r="Q49" s="5"/>
      <c r="R49" s="5"/>
      <c r="S49" s="5"/>
      <c r="T49" s="5"/>
    </row>
    <row r="50" spans="2:20">
      <c r="B50" s="1">
        <f t="shared" ref="B50:J50" si="7">STDEV(B39:B48)</f>
        <v>5.3748384988657003</v>
      </c>
      <c r="C50" s="1">
        <f t="shared" si="7"/>
        <v>9.4280904158206305</v>
      </c>
      <c r="D50" s="1">
        <f t="shared" si="7"/>
        <v>5.9860949986893202</v>
      </c>
      <c r="E50" s="1">
        <f t="shared" si="7"/>
        <v>6.6666666666666696</v>
      </c>
      <c r="F50" s="1">
        <f t="shared" si="7"/>
        <v>9.4428103161435306</v>
      </c>
      <c r="G50" s="1">
        <f t="shared" si="7"/>
        <v>8.8349055204657105</v>
      </c>
      <c r="H50" s="1">
        <f t="shared" si="7"/>
        <v>6.6874675492462901</v>
      </c>
      <c r="I50" s="1">
        <f t="shared" si="7"/>
        <v>5.3748384988657003</v>
      </c>
      <c r="J50" s="1">
        <f t="shared" si="7"/>
        <v>8.8191710368819702</v>
      </c>
      <c r="O50" s="5"/>
      <c r="P50" s="5"/>
      <c r="Q50" s="5"/>
      <c r="R50" s="5"/>
      <c r="S50" s="5"/>
      <c r="T50" s="5"/>
    </row>
    <row r="51" spans="2:20">
      <c r="B51" s="1">
        <f t="shared" ref="B51:J51" si="8">CONFIDENCE(0.05,B50,10)</f>
        <v>3.3312982010362702</v>
      </c>
      <c r="C51" s="1">
        <f t="shared" si="8"/>
        <v>5.8434836038438798</v>
      </c>
      <c r="D51" s="1">
        <f t="shared" si="8"/>
        <v>3.7101519430908199</v>
      </c>
      <c r="E51" s="1">
        <f t="shared" si="8"/>
        <v>4.1319668820304098</v>
      </c>
      <c r="F51" s="1">
        <f t="shared" si="8"/>
        <v>5.8526069249400301</v>
      </c>
      <c r="G51" s="1">
        <f t="shared" si="8"/>
        <v>5.4758305524648003</v>
      </c>
      <c r="H51" s="1">
        <f t="shared" si="8"/>
        <v>4.1448591657208098</v>
      </c>
      <c r="I51" s="1">
        <f t="shared" si="8"/>
        <v>3.3312982010362702</v>
      </c>
      <c r="J51" s="1">
        <f t="shared" si="8"/>
        <v>5.4660783977037104</v>
      </c>
      <c r="O51" s="5"/>
      <c r="P51" s="5"/>
      <c r="Q51" s="5"/>
      <c r="R51" s="5"/>
      <c r="S51" s="5"/>
      <c r="T51" s="5"/>
    </row>
    <row r="52" spans="2:20">
      <c r="O52" s="5"/>
      <c r="P52" s="5"/>
      <c r="Q52" s="5"/>
      <c r="R52" s="5"/>
      <c r="S52" s="5"/>
      <c r="T52" s="5"/>
    </row>
    <row r="53" spans="2:20">
      <c r="O53" s="5"/>
      <c r="P53" s="5"/>
      <c r="Q53" s="5"/>
      <c r="R53" s="5"/>
      <c r="S53" s="5"/>
      <c r="T53" s="5"/>
    </row>
    <row r="54" spans="2:20">
      <c r="F54" t="s">
        <v>32</v>
      </c>
      <c r="O54" s="5"/>
      <c r="P54" s="5"/>
      <c r="Q54" s="5"/>
      <c r="R54" s="5"/>
      <c r="S54" s="5"/>
      <c r="T54" s="5"/>
    </row>
    <row r="55" spans="2:20">
      <c r="B55">
        <v>75</v>
      </c>
      <c r="C55">
        <v>85</v>
      </c>
      <c r="D55">
        <v>90</v>
      </c>
      <c r="E55">
        <v>100</v>
      </c>
      <c r="F55">
        <v>90</v>
      </c>
      <c r="G55">
        <v>85</v>
      </c>
      <c r="H55">
        <v>85</v>
      </c>
      <c r="I55">
        <v>95</v>
      </c>
      <c r="J55">
        <v>90</v>
      </c>
      <c r="O55" s="5"/>
      <c r="P55" s="5"/>
      <c r="Q55" s="5"/>
      <c r="R55" s="5"/>
      <c r="S55" s="5"/>
      <c r="T55" s="5"/>
    </row>
    <row r="56" spans="2:20">
      <c r="B56">
        <v>85</v>
      </c>
      <c r="C56">
        <v>95</v>
      </c>
      <c r="D56">
        <v>80</v>
      </c>
      <c r="E56">
        <v>100</v>
      </c>
      <c r="F56">
        <v>100</v>
      </c>
      <c r="G56">
        <v>85</v>
      </c>
      <c r="H56">
        <v>85</v>
      </c>
      <c r="I56">
        <v>90</v>
      </c>
      <c r="J56">
        <v>85</v>
      </c>
      <c r="O56" s="5"/>
      <c r="P56" s="5"/>
      <c r="Q56" s="5"/>
      <c r="R56" s="5"/>
      <c r="S56" s="5"/>
      <c r="T56" s="5"/>
    </row>
    <row r="57" spans="2:20">
      <c r="B57">
        <v>90</v>
      </c>
      <c r="C57">
        <v>90</v>
      </c>
      <c r="D57">
        <v>95</v>
      </c>
      <c r="E57">
        <v>95</v>
      </c>
      <c r="F57">
        <v>95</v>
      </c>
      <c r="G57">
        <v>100</v>
      </c>
      <c r="H57">
        <v>90</v>
      </c>
      <c r="I57">
        <v>90</v>
      </c>
      <c r="J57">
        <v>80</v>
      </c>
      <c r="O57" s="5"/>
      <c r="P57" s="5"/>
      <c r="Q57" s="5"/>
      <c r="R57" s="5"/>
      <c r="S57" s="5"/>
      <c r="T57" s="5"/>
    </row>
    <row r="58" spans="2:20">
      <c r="B58">
        <v>90</v>
      </c>
      <c r="C58">
        <v>85</v>
      </c>
      <c r="D58">
        <v>90</v>
      </c>
      <c r="E58">
        <v>95</v>
      </c>
      <c r="F58">
        <v>75</v>
      </c>
      <c r="G58">
        <v>75</v>
      </c>
      <c r="H58">
        <v>80</v>
      </c>
      <c r="I58">
        <v>90</v>
      </c>
      <c r="J58">
        <v>95</v>
      </c>
      <c r="O58" s="5"/>
      <c r="P58" s="5"/>
      <c r="Q58" s="5"/>
      <c r="R58" s="5"/>
      <c r="S58" s="5"/>
      <c r="T58" s="5"/>
    </row>
    <row r="59" spans="2:20">
      <c r="B59">
        <v>90</v>
      </c>
      <c r="C59">
        <v>100</v>
      </c>
      <c r="D59">
        <v>95</v>
      </c>
      <c r="E59">
        <v>90</v>
      </c>
      <c r="F59">
        <v>100</v>
      </c>
      <c r="G59">
        <v>90</v>
      </c>
      <c r="H59">
        <v>95</v>
      </c>
      <c r="I59">
        <v>95</v>
      </c>
      <c r="J59">
        <v>95</v>
      </c>
    </row>
    <row r="60" spans="2:20">
      <c r="B60">
        <v>90</v>
      </c>
      <c r="C60">
        <v>70</v>
      </c>
      <c r="D60">
        <v>85</v>
      </c>
      <c r="E60">
        <v>95</v>
      </c>
      <c r="F60">
        <v>80</v>
      </c>
      <c r="G60">
        <v>100</v>
      </c>
      <c r="H60">
        <v>85</v>
      </c>
      <c r="I60">
        <v>90</v>
      </c>
      <c r="J60">
        <v>80</v>
      </c>
    </row>
    <row r="61" spans="2:20">
      <c r="B61">
        <v>80</v>
      </c>
      <c r="C61">
        <v>90</v>
      </c>
      <c r="D61">
        <v>80</v>
      </c>
      <c r="E61">
        <v>80</v>
      </c>
      <c r="F61">
        <v>90</v>
      </c>
      <c r="G61">
        <v>95</v>
      </c>
      <c r="H61">
        <v>80</v>
      </c>
      <c r="I61">
        <v>90</v>
      </c>
      <c r="J61">
        <v>95</v>
      </c>
    </row>
    <row r="62" spans="2:20">
      <c r="B62">
        <v>95</v>
      </c>
      <c r="C62">
        <v>80</v>
      </c>
      <c r="D62">
        <v>95</v>
      </c>
      <c r="E62">
        <v>100</v>
      </c>
      <c r="F62">
        <v>95</v>
      </c>
      <c r="G62">
        <v>90</v>
      </c>
      <c r="H62">
        <v>85</v>
      </c>
      <c r="I62">
        <v>90</v>
      </c>
      <c r="J62">
        <v>100</v>
      </c>
    </row>
    <row r="63" spans="2:20">
      <c r="B63">
        <v>85</v>
      </c>
      <c r="C63">
        <v>90</v>
      </c>
      <c r="D63">
        <v>90</v>
      </c>
      <c r="E63">
        <v>85</v>
      </c>
      <c r="F63">
        <v>85</v>
      </c>
      <c r="G63">
        <v>90</v>
      </c>
      <c r="H63">
        <v>80</v>
      </c>
      <c r="I63">
        <v>80</v>
      </c>
      <c r="J63">
        <v>80</v>
      </c>
    </row>
    <row r="64" spans="2:20">
      <c r="B64">
        <v>85</v>
      </c>
      <c r="C64">
        <v>95</v>
      </c>
      <c r="D64">
        <v>90</v>
      </c>
      <c r="E64">
        <v>85</v>
      </c>
      <c r="F64">
        <v>95</v>
      </c>
      <c r="G64">
        <v>95</v>
      </c>
      <c r="H64">
        <v>100</v>
      </c>
      <c r="I64">
        <v>90</v>
      </c>
      <c r="J64">
        <v>75</v>
      </c>
    </row>
    <row r="65" spans="2:10">
      <c r="B65">
        <f t="shared" ref="B65:J65" si="9">AVERAGE(B55:B64)</f>
        <v>86.5</v>
      </c>
      <c r="C65">
        <f t="shared" si="9"/>
        <v>88</v>
      </c>
      <c r="D65">
        <f t="shared" si="9"/>
        <v>89</v>
      </c>
      <c r="E65">
        <f t="shared" si="9"/>
        <v>92.5</v>
      </c>
      <c r="F65">
        <f t="shared" si="9"/>
        <v>90.5</v>
      </c>
      <c r="G65">
        <f t="shared" si="9"/>
        <v>90.5</v>
      </c>
      <c r="H65">
        <f t="shared" si="9"/>
        <v>86.5</v>
      </c>
      <c r="I65">
        <f t="shared" si="9"/>
        <v>90</v>
      </c>
      <c r="J65">
        <f t="shared" si="9"/>
        <v>87.5</v>
      </c>
    </row>
    <row r="66" spans="2:10">
      <c r="B66" s="1">
        <f t="shared" ref="B66:J66" si="10">STDEV(B55:B64)</f>
        <v>5.7975090436420302</v>
      </c>
      <c r="C66" s="1">
        <f t="shared" si="10"/>
        <v>8.5634883857767505</v>
      </c>
      <c r="D66" s="1">
        <f t="shared" si="10"/>
        <v>5.6764621219754696</v>
      </c>
      <c r="E66" s="1">
        <f t="shared" si="10"/>
        <v>7.1686043892021898</v>
      </c>
      <c r="F66" s="1">
        <f t="shared" si="10"/>
        <v>8.3166499665830997</v>
      </c>
      <c r="G66" s="1">
        <f t="shared" si="10"/>
        <v>7.61941963377497</v>
      </c>
      <c r="H66" s="1">
        <f t="shared" si="10"/>
        <v>6.6874675492462901</v>
      </c>
      <c r="I66" s="1">
        <f t="shared" si="10"/>
        <v>4.0824829046386304</v>
      </c>
      <c r="J66" s="1">
        <f t="shared" si="10"/>
        <v>8.5796917841558304</v>
      </c>
    </row>
    <row r="67" spans="2:10">
      <c r="B67" s="1">
        <f t="shared" ref="B67:J67" si="11">CONFIDENCE(0.05,B66,10)</f>
        <v>3.5932673049900998</v>
      </c>
      <c r="C67" s="1">
        <f t="shared" si="11"/>
        <v>5.3076075607022402</v>
      </c>
      <c r="D67" s="1">
        <f t="shared" si="11"/>
        <v>3.5182430242653999</v>
      </c>
      <c r="E67" s="1">
        <f t="shared" si="11"/>
        <v>4.4430653889841896</v>
      </c>
      <c r="F67" s="1">
        <f t="shared" si="11"/>
        <v>5.1546183347041001</v>
      </c>
      <c r="G67" s="1">
        <f t="shared" si="11"/>
        <v>4.7224784380575704</v>
      </c>
      <c r="H67" s="1">
        <f t="shared" si="11"/>
        <v>4.1448591657208098</v>
      </c>
      <c r="I67" s="1">
        <f t="shared" si="11"/>
        <v>2.5303026237633199</v>
      </c>
      <c r="J67" s="1">
        <f t="shared" si="11"/>
        <v>5.3176503465240499</v>
      </c>
    </row>
    <row r="70" spans="2:10">
      <c r="F70" t="s">
        <v>33</v>
      </c>
    </row>
    <row r="71" spans="2:10">
      <c r="B71">
        <v>75</v>
      </c>
      <c r="C71">
        <v>85</v>
      </c>
      <c r="D71">
        <v>90</v>
      </c>
      <c r="E71">
        <v>100</v>
      </c>
      <c r="F71">
        <v>90</v>
      </c>
      <c r="G71">
        <v>85</v>
      </c>
      <c r="H71">
        <v>85</v>
      </c>
      <c r="I71">
        <v>95</v>
      </c>
      <c r="J71">
        <v>90</v>
      </c>
    </row>
    <row r="72" spans="2:10">
      <c r="B72">
        <v>85</v>
      </c>
      <c r="C72">
        <v>95</v>
      </c>
      <c r="D72">
        <v>80</v>
      </c>
      <c r="E72">
        <v>100</v>
      </c>
      <c r="F72">
        <v>100</v>
      </c>
      <c r="G72">
        <v>85</v>
      </c>
      <c r="H72">
        <v>85</v>
      </c>
      <c r="I72">
        <v>90</v>
      </c>
      <c r="J72">
        <v>85</v>
      </c>
    </row>
    <row r="73" spans="2:10">
      <c r="B73">
        <v>90</v>
      </c>
      <c r="C73">
        <v>90</v>
      </c>
      <c r="D73">
        <v>95</v>
      </c>
      <c r="E73">
        <v>95</v>
      </c>
      <c r="F73">
        <v>95</v>
      </c>
      <c r="G73">
        <v>100</v>
      </c>
      <c r="H73">
        <v>90</v>
      </c>
      <c r="I73">
        <v>90</v>
      </c>
      <c r="J73">
        <v>80</v>
      </c>
    </row>
    <row r="74" spans="2:10">
      <c r="B74">
        <v>90</v>
      </c>
      <c r="C74">
        <v>85</v>
      </c>
      <c r="D74">
        <v>90</v>
      </c>
      <c r="E74">
        <v>95</v>
      </c>
      <c r="F74">
        <v>75</v>
      </c>
      <c r="G74">
        <v>75</v>
      </c>
      <c r="H74">
        <v>80</v>
      </c>
      <c r="I74">
        <v>90</v>
      </c>
      <c r="J74">
        <v>95</v>
      </c>
    </row>
    <row r="75" spans="2:10">
      <c r="B75">
        <v>90</v>
      </c>
      <c r="C75">
        <v>100</v>
      </c>
      <c r="D75">
        <v>95</v>
      </c>
      <c r="E75">
        <v>90</v>
      </c>
      <c r="F75">
        <v>100</v>
      </c>
      <c r="G75">
        <v>90</v>
      </c>
      <c r="H75">
        <v>95</v>
      </c>
      <c r="I75">
        <v>95</v>
      </c>
      <c r="J75">
        <v>95</v>
      </c>
    </row>
    <row r="76" spans="2:10">
      <c r="B76">
        <v>90</v>
      </c>
      <c r="C76">
        <v>70</v>
      </c>
      <c r="D76">
        <v>85</v>
      </c>
      <c r="E76">
        <v>95</v>
      </c>
      <c r="F76">
        <v>80</v>
      </c>
      <c r="G76">
        <v>100</v>
      </c>
      <c r="H76">
        <v>85</v>
      </c>
      <c r="I76">
        <v>90</v>
      </c>
      <c r="J76">
        <v>80</v>
      </c>
    </row>
    <row r="77" spans="2:10">
      <c r="B77">
        <v>80</v>
      </c>
      <c r="C77">
        <v>90</v>
      </c>
      <c r="D77">
        <v>80</v>
      </c>
      <c r="E77">
        <v>80</v>
      </c>
      <c r="F77">
        <v>90</v>
      </c>
      <c r="G77">
        <v>95</v>
      </c>
      <c r="H77">
        <v>80</v>
      </c>
      <c r="I77">
        <v>90</v>
      </c>
      <c r="J77">
        <v>95</v>
      </c>
    </row>
    <row r="78" spans="2:10">
      <c r="B78">
        <v>95</v>
      </c>
      <c r="C78">
        <v>80</v>
      </c>
      <c r="D78">
        <v>95</v>
      </c>
      <c r="E78">
        <v>100</v>
      </c>
      <c r="F78">
        <v>95</v>
      </c>
      <c r="G78">
        <v>90</v>
      </c>
      <c r="H78">
        <v>85</v>
      </c>
      <c r="I78">
        <v>90</v>
      </c>
      <c r="J78">
        <v>100</v>
      </c>
    </row>
    <row r="79" spans="2:10">
      <c r="B79">
        <v>85</v>
      </c>
      <c r="C79">
        <v>90</v>
      </c>
      <c r="D79">
        <v>90</v>
      </c>
      <c r="E79">
        <v>85</v>
      </c>
      <c r="F79">
        <v>85</v>
      </c>
      <c r="G79">
        <v>90</v>
      </c>
      <c r="H79">
        <v>80</v>
      </c>
      <c r="I79">
        <v>80</v>
      </c>
      <c r="J79">
        <v>80</v>
      </c>
    </row>
    <row r="80" spans="2:10">
      <c r="B80">
        <v>85</v>
      </c>
      <c r="C80">
        <v>95</v>
      </c>
      <c r="D80">
        <v>90</v>
      </c>
      <c r="E80">
        <v>85</v>
      </c>
      <c r="F80">
        <v>95</v>
      </c>
      <c r="G80">
        <v>95</v>
      </c>
      <c r="H80">
        <v>100</v>
      </c>
      <c r="I80">
        <v>90</v>
      </c>
      <c r="J80">
        <v>75</v>
      </c>
    </row>
    <row r="81" spans="2:10">
      <c r="B81">
        <f t="shared" ref="B81:J81" si="12">AVERAGE(B71:B80)</f>
        <v>86.5</v>
      </c>
      <c r="C81">
        <f t="shared" si="12"/>
        <v>88</v>
      </c>
      <c r="D81">
        <f t="shared" si="12"/>
        <v>89</v>
      </c>
      <c r="E81">
        <f t="shared" si="12"/>
        <v>92.5</v>
      </c>
      <c r="F81">
        <f t="shared" si="12"/>
        <v>90.5</v>
      </c>
      <c r="G81">
        <f t="shared" si="12"/>
        <v>90.5</v>
      </c>
      <c r="H81">
        <f t="shared" si="12"/>
        <v>86.5</v>
      </c>
      <c r="I81">
        <f t="shared" si="12"/>
        <v>90</v>
      </c>
      <c r="J81">
        <f t="shared" si="12"/>
        <v>87.5</v>
      </c>
    </row>
    <row r="82" spans="2:10">
      <c r="B82" s="1">
        <f t="shared" ref="B82:J82" si="13">STDEV(B71:B80)</f>
        <v>5.7975090436420302</v>
      </c>
      <c r="C82" s="1">
        <f t="shared" si="13"/>
        <v>8.5634883857767505</v>
      </c>
      <c r="D82" s="1">
        <f t="shared" si="13"/>
        <v>5.6764621219754696</v>
      </c>
      <c r="E82" s="1">
        <f t="shared" si="13"/>
        <v>7.1686043892021898</v>
      </c>
      <c r="F82" s="1">
        <f t="shared" si="13"/>
        <v>8.3166499665830997</v>
      </c>
      <c r="G82" s="1">
        <f t="shared" si="13"/>
        <v>7.61941963377497</v>
      </c>
      <c r="H82" s="1">
        <f t="shared" si="13"/>
        <v>6.6874675492462901</v>
      </c>
      <c r="I82" s="1">
        <f t="shared" si="13"/>
        <v>4.0824829046386304</v>
      </c>
      <c r="J82" s="1">
        <f t="shared" si="13"/>
        <v>8.5796917841558304</v>
      </c>
    </row>
    <row r="83" spans="2:10">
      <c r="B83" s="1">
        <f t="shared" ref="B83:J83" si="14">CONFIDENCE(0.05,B82,10)</f>
        <v>3.5932673049900998</v>
      </c>
      <c r="C83" s="1">
        <f t="shared" si="14"/>
        <v>5.3076075607022402</v>
      </c>
      <c r="D83" s="1">
        <f t="shared" si="14"/>
        <v>3.5182430242653999</v>
      </c>
      <c r="E83" s="1">
        <f t="shared" si="14"/>
        <v>4.4430653889841896</v>
      </c>
      <c r="F83" s="1">
        <f t="shared" si="14"/>
        <v>5.1546183347041001</v>
      </c>
      <c r="G83" s="1">
        <f t="shared" si="14"/>
        <v>4.7224784380575704</v>
      </c>
      <c r="H83" s="1">
        <f t="shared" si="14"/>
        <v>4.1448591657208098</v>
      </c>
      <c r="I83" s="1">
        <f t="shared" si="14"/>
        <v>2.5303026237633199</v>
      </c>
      <c r="J83" s="1">
        <f t="shared" si="14"/>
        <v>5.3176503465240499</v>
      </c>
    </row>
    <row r="88" spans="2:10">
      <c r="B88" s="1">
        <v>2.98</v>
      </c>
      <c r="C88" s="1">
        <v>3.56</v>
      </c>
      <c r="D88" s="1">
        <v>3.86</v>
      </c>
      <c r="E88" s="1">
        <v>3.14</v>
      </c>
      <c r="F88" s="1">
        <v>3.78</v>
      </c>
      <c r="G88" s="1">
        <v>3.16</v>
      </c>
      <c r="H88" s="1">
        <v>3.4</v>
      </c>
      <c r="I88" s="1">
        <v>3.36</v>
      </c>
      <c r="J88" s="1">
        <v>3.66</v>
      </c>
    </row>
    <row r="89" spans="2:10">
      <c r="B89" s="1">
        <v>2.9</v>
      </c>
      <c r="C89" s="1">
        <v>3.2</v>
      </c>
      <c r="D89" s="1">
        <v>4.2</v>
      </c>
      <c r="E89" s="1">
        <v>3.56</v>
      </c>
      <c r="F89" s="1">
        <v>3.28</v>
      </c>
      <c r="G89" s="1">
        <v>3.42</v>
      </c>
      <c r="H89" s="1">
        <v>3.28</v>
      </c>
      <c r="I89" s="1">
        <v>3.08</v>
      </c>
      <c r="J89" s="1">
        <v>3.52</v>
      </c>
    </row>
    <row r="90" spans="2:10">
      <c r="B90" s="1">
        <v>3.38</v>
      </c>
      <c r="C90" s="1">
        <v>3.4</v>
      </c>
      <c r="D90" s="1">
        <v>3.94</v>
      </c>
      <c r="E90" s="1">
        <v>3.1</v>
      </c>
      <c r="F90" s="1">
        <v>3.34</v>
      </c>
      <c r="G90" s="1">
        <v>3.32</v>
      </c>
      <c r="H90" s="1">
        <v>3.82</v>
      </c>
      <c r="I90" s="1">
        <v>3.3</v>
      </c>
      <c r="J90" s="1">
        <v>2.98</v>
      </c>
    </row>
    <row r="91" spans="2:10">
      <c r="B91" s="1">
        <v>2.98</v>
      </c>
      <c r="C91" s="1">
        <v>3.28</v>
      </c>
      <c r="D91" s="1">
        <v>3.48</v>
      </c>
      <c r="E91" s="1">
        <v>3.84</v>
      </c>
      <c r="F91" s="1">
        <v>3.88</v>
      </c>
      <c r="G91" s="1">
        <v>3.74</v>
      </c>
      <c r="H91" s="1">
        <v>3.12</v>
      </c>
      <c r="I91" s="1">
        <v>3.76</v>
      </c>
      <c r="J91" s="1">
        <v>3.5</v>
      </c>
    </row>
    <row r="92" spans="2:10">
      <c r="B92" s="1">
        <v>3.38</v>
      </c>
      <c r="C92" s="1">
        <v>2.82</v>
      </c>
      <c r="D92" s="1">
        <v>3.94</v>
      </c>
      <c r="E92" s="1">
        <v>3.52</v>
      </c>
      <c r="F92" s="1">
        <v>3.54</v>
      </c>
      <c r="G92" s="1">
        <v>3.74</v>
      </c>
      <c r="H92" s="1">
        <v>3.4</v>
      </c>
      <c r="I92" s="1">
        <v>3.26</v>
      </c>
      <c r="J92" s="1">
        <v>3.98</v>
      </c>
    </row>
    <row r="93" spans="2:10">
      <c r="B93" s="1">
        <v>3.2</v>
      </c>
      <c r="C93" s="1">
        <v>3.52</v>
      </c>
      <c r="D93" s="1">
        <v>3.2</v>
      </c>
      <c r="E93" s="1">
        <v>3.32</v>
      </c>
      <c r="F93" s="1">
        <v>3.98</v>
      </c>
      <c r="G93" s="1">
        <v>3.24</v>
      </c>
      <c r="H93" s="1">
        <v>3.02</v>
      </c>
      <c r="I93" s="1">
        <v>3.06</v>
      </c>
      <c r="J93" s="1">
        <v>4.0599999999999996</v>
      </c>
    </row>
    <row r="94" spans="2:10">
      <c r="B94" s="1">
        <v>3.2</v>
      </c>
      <c r="C94" s="1">
        <v>2.6</v>
      </c>
      <c r="D94" s="1">
        <v>3.54</v>
      </c>
      <c r="E94" s="1">
        <v>3.3</v>
      </c>
      <c r="F94" s="1">
        <v>4.12</v>
      </c>
      <c r="G94" s="1">
        <v>3.64</v>
      </c>
      <c r="H94" s="1">
        <v>2.88</v>
      </c>
      <c r="I94" s="1">
        <v>3.8</v>
      </c>
      <c r="J94" s="1">
        <v>3.42</v>
      </c>
    </row>
    <row r="95" spans="2:10">
      <c r="B95" s="1">
        <v>3.42</v>
      </c>
      <c r="C95" s="1">
        <v>3.8</v>
      </c>
      <c r="D95" s="1">
        <v>3.44</v>
      </c>
      <c r="E95" s="1">
        <v>2.72</v>
      </c>
      <c r="F95" s="1">
        <v>3.86</v>
      </c>
      <c r="G95" s="1">
        <v>3.28</v>
      </c>
      <c r="H95" s="1">
        <v>3.08</v>
      </c>
      <c r="I95" s="1">
        <v>3.54</v>
      </c>
      <c r="J95" s="1">
        <v>3.94</v>
      </c>
    </row>
    <row r="96" spans="2:10">
      <c r="B96" s="1">
        <v>2.9</v>
      </c>
      <c r="C96" s="1">
        <v>3.7</v>
      </c>
      <c r="D96" s="1">
        <v>3.76</v>
      </c>
      <c r="E96" s="1">
        <v>3.84</v>
      </c>
      <c r="F96" s="1">
        <v>3.56</v>
      </c>
      <c r="G96" s="1">
        <v>3.4</v>
      </c>
      <c r="H96" s="1">
        <v>3.06</v>
      </c>
      <c r="I96" s="1">
        <v>2.82</v>
      </c>
      <c r="J96" s="1">
        <v>3.48</v>
      </c>
    </row>
    <row r="97" spans="1:10">
      <c r="B97" s="1">
        <v>3.12</v>
      </c>
      <c r="C97" s="1">
        <v>2.68</v>
      </c>
      <c r="D97" s="1">
        <v>3.5</v>
      </c>
      <c r="E97" s="1">
        <v>3.46</v>
      </c>
      <c r="F97" s="1">
        <v>3.6</v>
      </c>
      <c r="G97" s="1">
        <v>3.28</v>
      </c>
      <c r="H97" s="1">
        <v>3.1</v>
      </c>
      <c r="I97" s="1">
        <v>3.98</v>
      </c>
      <c r="J97" s="1">
        <v>4.0999999999999996</v>
      </c>
    </row>
    <row r="98" spans="1:10">
      <c r="B98" s="1">
        <v>3.46</v>
      </c>
      <c r="C98" s="1">
        <v>3.94</v>
      </c>
      <c r="D98" s="1">
        <v>4.22</v>
      </c>
      <c r="E98" s="1">
        <v>3.64</v>
      </c>
      <c r="F98" s="1">
        <v>3.34</v>
      </c>
      <c r="G98" s="1">
        <v>4.3600000000000003</v>
      </c>
      <c r="H98" s="1">
        <v>3.94</v>
      </c>
      <c r="I98" s="1">
        <v>3.38</v>
      </c>
      <c r="J98" s="1">
        <v>3.68</v>
      </c>
    </row>
    <row r="99" spans="1:10">
      <c r="B99" s="1">
        <v>3.36</v>
      </c>
      <c r="C99" s="1">
        <v>3.2</v>
      </c>
      <c r="D99" s="1">
        <v>3.26</v>
      </c>
      <c r="E99" s="1">
        <v>4.26</v>
      </c>
      <c r="F99" s="1">
        <v>3.32</v>
      </c>
      <c r="G99" s="1">
        <v>5.26</v>
      </c>
      <c r="H99" s="1">
        <v>3.64</v>
      </c>
      <c r="I99" s="1">
        <v>2.46</v>
      </c>
      <c r="J99" s="1">
        <v>3.24</v>
      </c>
    </row>
    <row r="100" spans="1:10">
      <c r="B100" s="1">
        <v>3.5</v>
      </c>
      <c r="C100" s="1">
        <v>3.34</v>
      </c>
      <c r="D100" s="1">
        <v>4.24</v>
      </c>
      <c r="E100" s="1">
        <v>4.26</v>
      </c>
      <c r="F100" s="1">
        <v>3.28</v>
      </c>
      <c r="G100" s="1">
        <v>4</v>
      </c>
      <c r="H100" s="1">
        <v>3.58</v>
      </c>
      <c r="I100" s="1">
        <v>2.48</v>
      </c>
      <c r="J100" s="1">
        <v>4.2</v>
      </c>
    </row>
    <row r="101" spans="1:10">
      <c r="B101" s="1">
        <v>2.08</v>
      </c>
      <c r="C101" s="1">
        <v>3.06</v>
      </c>
      <c r="D101" s="1">
        <v>3.3</v>
      </c>
      <c r="E101" s="1">
        <v>3.68</v>
      </c>
      <c r="F101" s="1">
        <v>3.46</v>
      </c>
      <c r="G101" s="1">
        <v>3.38</v>
      </c>
      <c r="H101" s="1">
        <v>3.4</v>
      </c>
      <c r="I101" s="1">
        <v>3.88</v>
      </c>
      <c r="J101" s="1">
        <v>3.42</v>
      </c>
    </row>
    <row r="102" spans="1:10">
      <c r="B102" s="1">
        <v>3.06</v>
      </c>
      <c r="C102" s="1">
        <v>4.04</v>
      </c>
      <c r="D102" s="1">
        <v>3.44</v>
      </c>
      <c r="E102" s="1">
        <v>3.32</v>
      </c>
      <c r="F102" s="1">
        <v>4.18</v>
      </c>
      <c r="G102" s="1">
        <v>3.16</v>
      </c>
      <c r="H102" s="1">
        <v>3.74</v>
      </c>
      <c r="I102" s="1">
        <v>3.98</v>
      </c>
      <c r="J102" s="1">
        <v>3.44</v>
      </c>
    </row>
    <row r="103" spans="1:10">
      <c r="B103" s="1">
        <v>2.8</v>
      </c>
      <c r="C103" s="1">
        <v>3.2</v>
      </c>
      <c r="D103" s="1">
        <v>3.72</v>
      </c>
      <c r="E103" s="1">
        <v>4.26</v>
      </c>
      <c r="F103" s="1">
        <v>3.32</v>
      </c>
      <c r="G103" s="1">
        <v>3.34</v>
      </c>
      <c r="H103" s="1">
        <v>3.1</v>
      </c>
      <c r="I103" s="1">
        <v>2.46</v>
      </c>
      <c r="J103" s="1">
        <v>3.22</v>
      </c>
    </row>
    <row r="104" spans="1:10">
      <c r="B104" s="1">
        <v>3.46</v>
      </c>
      <c r="C104" s="1">
        <v>3.36</v>
      </c>
      <c r="D104" s="1">
        <v>4.4000000000000004</v>
      </c>
      <c r="E104" s="1">
        <v>3.78</v>
      </c>
      <c r="F104" s="1">
        <v>4.4800000000000004</v>
      </c>
      <c r="G104" s="1">
        <v>3.36</v>
      </c>
      <c r="H104" s="1">
        <v>3.56</v>
      </c>
      <c r="I104" s="1">
        <v>3.92</v>
      </c>
      <c r="J104" s="1">
        <v>3.16</v>
      </c>
    </row>
    <row r="105" spans="1:10">
      <c r="B105" s="1">
        <v>3.48</v>
      </c>
      <c r="C105" s="1">
        <v>4.96</v>
      </c>
      <c r="D105" s="1">
        <v>3.52</v>
      </c>
      <c r="E105" s="1">
        <v>3.6</v>
      </c>
      <c r="F105" s="1">
        <v>3.32</v>
      </c>
      <c r="G105" s="1">
        <v>3.06</v>
      </c>
      <c r="H105" s="1">
        <v>3.76</v>
      </c>
      <c r="I105" s="1">
        <v>3.08</v>
      </c>
      <c r="J105" s="1">
        <v>3.1</v>
      </c>
    </row>
    <row r="106" spans="1:10">
      <c r="B106" s="1">
        <v>2.6</v>
      </c>
      <c r="C106" s="1">
        <v>3.92</v>
      </c>
      <c r="D106" s="1">
        <v>4.34</v>
      </c>
      <c r="E106" s="1">
        <v>3.86</v>
      </c>
      <c r="F106" s="1">
        <v>3.36</v>
      </c>
      <c r="G106" s="1">
        <v>3.18</v>
      </c>
      <c r="H106" s="1">
        <v>3.32</v>
      </c>
      <c r="I106" s="1">
        <v>3.42</v>
      </c>
      <c r="J106" s="1">
        <v>3</v>
      </c>
    </row>
    <row r="107" spans="1:10">
      <c r="B107" s="1">
        <v>2.52</v>
      </c>
      <c r="C107" s="1">
        <v>3.46</v>
      </c>
      <c r="D107" s="1">
        <v>4.22</v>
      </c>
      <c r="E107" s="1">
        <v>4.28</v>
      </c>
      <c r="F107" s="1">
        <v>3.38</v>
      </c>
      <c r="G107" s="1">
        <v>4.9800000000000004</v>
      </c>
      <c r="H107" s="1">
        <v>3</v>
      </c>
      <c r="I107" s="1">
        <v>3.36</v>
      </c>
      <c r="J107" s="1">
        <v>3.64</v>
      </c>
    </row>
    <row r="108" spans="1:10">
      <c r="A108" t="s">
        <v>27</v>
      </c>
      <c r="B108" s="1">
        <f t="shared" ref="B108:J108" si="15">AVERAGE(B88:B107)</f>
        <v>3.089</v>
      </c>
      <c r="C108" s="1">
        <f t="shared" si="15"/>
        <v>3.452</v>
      </c>
      <c r="D108" s="2">
        <f t="shared" si="15"/>
        <v>3.7759999999999998</v>
      </c>
      <c r="E108" s="2">
        <f t="shared" si="15"/>
        <v>3.637</v>
      </c>
      <c r="F108" s="2">
        <f t="shared" si="15"/>
        <v>3.6190000000000002</v>
      </c>
      <c r="G108" s="1">
        <f t="shared" si="15"/>
        <v>3.6150000000000002</v>
      </c>
      <c r="H108" s="1">
        <f t="shared" si="15"/>
        <v>3.36</v>
      </c>
      <c r="I108" s="1">
        <f t="shared" si="15"/>
        <v>3.319</v>
      </c>
      <c r="J108" s="1">
        <f t="shared" si="15"/>
        <v>3.5369999999999999</v>
      </c>
    </row>
    <row r="109" spans="1:10">
      <c r="A109" t="s">
        <v>28</v>
      </c>
      <c r="B109" s="1">
        <f t="shared" ref="B109:J109" si="16">STDEV(B88:B107)</f>
        <v>0.37944419186072897</v>
      </c>
      <c r="C109" s="1">
        <f t="shared" si="16"/>
        <v>0.53285329273538995</v>
      </c>
      <c r="D109" s="1">
        <f t="shared" si="16"/>
        <v>0.39044374215688699</v>
      </c>
      <c r="E109" s="1">
        <f t="shared" si="16"/>
        <v>0.42768778577984101</v>
      </c>
      <c r="F109" s="1">
        <f t="shared" si="16"/>
        <v>0.355615108316784</v>
      </c>
      <c r="G109" s="1">
        <f t="shared" si="16"/>
        <v>0.60471393846051003</v>
      </c>
      <c r="H109" s="1">
        <f t="shared" si="16"/>
        <v>0.31362062230797599</v>
      </c>
      <c r="I109" s="1">
        <f t="shared" si="16"/>
        <v>0.49500558210568602</v>
      </c>
      <c r="J109" s="1">
        <f t="shared" si="16"/>
        <v>0.36970970119526803</v>
      </c>
    </row>
    <row r="110" spans="1:10">
      <c r="A110" t="s">
        <v>29</v>
      </c>
      <c r="B110" s="1">
        <f t="shared" ref="B110:J110" si="17">CONFIDENCE(0.05,B109,20)</f>
        <v>0.16629569352839699</v>
      </c>
      <c r="C110" s="1">
        <f t="shared" si="17"/>
        <v>0.23352896095151099</v>
      </c>
      <c r="D110" s="1">
        <f t="shared" si="17"/>
        <v>0.17111637041379099</v>
      </c>
      <c r="E110" s="1">
        <f t="shared" si="17"/>
        <v>0.18743899228265901</v>
      </c>
      <c r="F110" s="1">
        <f t="shared" si="17"/>
        <v>0.15585232910462199</v>
      </c>
      <c r="G110" s="1">
        <f t="shared" si="17"/>
        <v>0.26502269883073798</v>
      </c>
      <c r="H110" s="1">
        <f t="shared" si="17"/>
        <v>0.13744777232129801</v>
      </c>
      <c r="I110" s="1">
        <f t="shared" si="17"/>
        <v>0.216941775213433</v>
      </c>
      <c r="J110" s="1">
        <f t="shared" si="17"/>
        <v>0.162029443283743</v>
      </c>
    </row>
  </sheetData>
  <pageMargins left="0.75" right="0.75" top="1" bottom="1" header="0.5" footer="0.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AF148"/>
  <sheetViews>
    <sheetView tabSelected="1" topLeftCell="A65" workbookViewId="0">
      <selection activeCell="C74" sqref="C74:K79"/>
    </sheetView>
  </sheetViews>
  <sheetFormatPr baseColWidth="10" defaultColWidth="9.140625" defaultRowHeight="15"/>
  <cols>
    <col min="1" max="16384" width="9.140625" style="5"/>
  </cols>
  <sheetData>
    <row r="2" spans="2:32">
      <c r="C2" s="5" t="s">
        <v>107</v>
      </c>
    </row>
    <row r="3" spans="2:32"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</row>
    <row r="4" spans="2:32">
      <c r="B4" s="5" t="s">
        <v>72</v>
      </c>
      <c r="C4" s="5">
        <v>0</v>
      </c>
      <c r="D4" s="5">
        <v>0</v>
      </c>
      <c r="E4" s="5">
        <v>0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0</v>
      </c>
    </row>
    <row r="5" spans="2:32">
      <c r="B5" s="5" t="s">
        <v>71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</row>
    <row r="6" spans="2:32">
      <c r="B6" s="5" t="s">
        <v>70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</row>
    <row r="7" spans="2:32">
      <c r="B7" s="5" t="s">
        <v>69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</row>
    <row r="8" spans="2:32">
      <c r="B8" s="5" t="s">
        <v>68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</row>
    <row r="9" spans="2:32">
      <c r="B9" s="5" t="s">
        <v>67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</row>
    <row r="10" spans="2:32">
      <c r="B10" s="5" t="s">
        <v>108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</row>
    <row r="11" spans="2:32">
      <c r="B11" s="5" t="s">
        <v>109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</row>
    <row r="12" spans="2:32">
      <c r="B12" s="5" t="s">
        <v>110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</row>
    <row r="13" spans="2:32">
      <c r="B13" s="5" t="s">
        <v>111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</row>
    <row r="14" spans="2:32">
      <c r="C14" s="6"/>
      <c r="D14" s="6"/>
      <c r="E14" s="6"/>
      <c r="F14" s="6"/>
      <c r="G14" s="6"/>
      <c r="N14" s="10" t="s">
        <v>95</v>
      </c>
      <c r="Q14" s="10" t="s">
        <v>94</v>
      </c>
      <c r="T14" s="14" t="s">
        <v>93</v>
      </c>
      <c r="AB14" s="11" t="s">
        <v>77</v>
      </c>
      <c r="AC14" s="10" t="s">
        <v>76</v>
      </c>
      <c r="AD14" s="10" t="s">
        <v>75</v>
      </c>
      <c r="AE14" s="10" t="s">
        <v>74</v>
      </c>
      <c r="AF14" s="10" t="s">
        <v>73</v>
      </c>
    </row>
    <row r="15" spans="2:32">
      <c r="AA15" s="5" t="s">
        <v>43</v>
      </c>
      <c r="AB15" s="5">
        <v>7.5003968253968241</v>
      </c>
      <c r="AC15" s="5">
        <v>6.7238095238095239</v>
      </c>
      <c r="AD15" s="5">
        <v>8.0785714285714274</v>
      </c>
      <c r="AE15" s="5">
        <v>8.0952621452621454</v>
      </c>
      <c r="AF15" s="5">
        <v>8.075925925925926</v>
      </c>
    </row>
    <row r="16" spans="2:32">
      <c r="C16" s="5" t="s">
        <v>17</v>
      </c>
      <c r="N16" s="10" t="s">
        <v>18</v>
      </c>
      <c r="AA16" s="5" t="s">
        <v>92</v>
      </c>
      <c r="AB16" s="5">
        <v>0.14664940396490675</v>
      </c>
      <c r="AC16" s="5">
        <v>0.10753083954909529</v>
      </c>
      <c r="AD16" s="5">
        <v>0.22862910264172204</v>
      </c>
      <c r="AE16" s="5">
        <v>0.20348105440036493</v>
      </c>
      <c r="AF16" s="5">
        <v>0.28195464845903118</v>
      </c>
    </row>
    <row r="17" spans="2:25">
      <c r="C17" s="5" t="s">
        <v>18</v>
      </c>
      <c r="D17" s="5" t="s">
        <v>19</v>
      </c>
      <c r="E17" s="5" t="s">
        <v>20</v>
      </c>
      <c r="F17" s="5" t="s">
        <v>21</v>
      </c>
      <c r="G17" s="5" t="s">
        <v>22</v>
      </c>
      <c r="H17" t="s">
        <v>23</v>
      </c>
      <c r="I17" t="s">
        <v>24</v>
      </c>
      <c r="J17" t="s">
        <v>25</v>
      </c>
      <c r="K17" t="s">
        <v>26</v>
      </c>
      <c r="N17" s="5" t="s">
        <v>91</v>
      </c>
      <c r="O17" s="10" t="s">
        <v>90</v>
      </c>
      <c r="P17" s="10" t="s">
        <v>89</v>
      </c>
      <c r="Q17" s="10" t="s">
        <v>88</v>
      </c>
      <c r="R17" s="10" t="s">
        <v>38</v>
      </c>
      <c r="S17" s="10" t="s">
        <v>87</v>
      </c>
      <c r="T17" s="10" t="s">
        <v>86</v>
      </c>
      <c r="U17" s="10" t="s">
        <v>85</v>
      </c>
      <c r="V17" s="10" t="s">
        <v>84</v>
      </c>
      <c r="W17" s="5">
        <v>132</v>
      </c>
      <c r="X17" s="5">
        <v>144</v>
      </c>
      <c r="Y17" s="10" t="s">
        <v>83</v>
      </c>
    </row>
    <row r="18" spans="2:25">
      <c r="B18" s="5" t="s">
        <v>72</v>
      </c>
      <c r="C18">
        <v>3</v>
      </c>
      <c r="D18">
        <v>3</v>
      </c>
      <c r="E18">
        <v>2</v>
      </c>
      <c r="F18">
        <v>4</v>
      </c>
      <c r="G18">
        <v>8</v>
      </c>
      <c r="H18">
        <v>3</v>
      </c>
      <c r="I18">
        <v>2</v>
      </c>
      <c r="J18">
        <v>3</v>
      </c>
      <c r="K18">
        <v>6</v>
      </c>
      <c r="M18" s="5" t="s">
        <v>72</v>
      </c>
      <c r="N18" s="13">
        <f>(C18-C4)/1</f>
        <v>3</v>
      </c>
      <c r="O18" s="13">
        <f>(C33-C18)/1.5</f>
        <v>6</v>
      </c>
      <c r="P18" s="13">
        <f>(C47-C33)/2</f>
        <v>1</v>
      </c>
      <c r="Q18" s="13">
        <f>(C61-C47)/2.5</f>
        <v>0.4</v>
      </c>
      <c r="R18" s="13">
        <f>(C74-C61)/3</f>
        <v>0</v>
      </c>
      <c r="S18" s="13">
        <f t="shared" ref="S18:S23" si="0">(C85-C74)/3.5</f>
        <v>-1.7142857142857142</v>
      </c>
      <c r="T18" s="13">
        <f t="shared" ref="T18:T23" si="1">(C96-C85)/4</f>
        <v>0</v>
      </c>
      <c r="U18" s="13">
        <f t="shared" ref="U18:U23" si="2">(C107-C96)/4.5</f>
        <v>0</v>
      </c>
      <c r="V18" s="13">
        <f t="shared" ref="V18:V23" si="3">(C120-C107)/5</f>
        <v>0</v>
      </c>
      <c r="W18" s="13">
        <f t="shared" ref="W18:W23" si="4">(C130-C120)/5.5</f>
        <v>0</v>
      </c>
      <c r="X18" s="13">
        <f t="shared" ref="X18:X23" si="5">(C140-C130)/6</f>
        <v>0</v>
      </c>
      <c r="Y18" s="13">
        <f t="shared" ref="Y18:Y23" si="6">SUM(N18:X18)</f>
        <v>8.6857142857142868</v>
      </c>
    </row>
    <row r="19" spans="2:25">
      <c r="B19" s="5" t="s">
        <v>71</v>
      </c>
      <c r="C19">
        <v>5</v>
      </c>
      <c r="D19">
        <v>5</v>
      </c>
      <c r="E19">
        <v>7</v>
      </c>
      <c r="F19">
        <v>3</v>
      </c>
      <c r="G19">
        <v>5</v>
      </c>
      <c r="H19">
        <v>7</v>
      </c>
      <c r="I19">
        <v>3</v>
      </c>
      <c r="J19">
        <v>4</v>
      </c>
      <c r="K19">
        <v>4</v>
      </c>
      <c r="M19" s="5" t="s">
        <v>71</v>
      </c>
      <c r="N19" s="13">
        <f>(C19-C5)/1</f>
        <v>5</v>
      </c>
      <c r="O19" s="13">
        <f>(C34-C19)/1.5</f>
        <v>7.333333333333333</v>
      </c>
      <c r="P19" s="13">
        <f>(C48-C34)/2</f>
        <v>0</v>
      </c>
      <c r="Q19" s="13">
        <f>(C62-C48)/2.5</f>
        <v>0.4</v>
      </c>
      <c r="R19" s="13">
        <f>(C75-C62)/3</f>
        <v>0</v>
      </c>
      <c r="S19" s="13">
        <f t="shared" si="0"/>
        <v>-2</v>
      </c>
      <c r="T19" s="13">
        <f t="shared" si="1"/>
        <v>0</v>
      </c>
      <c r="U19" s="13">
        <f t="shared" si="2"/>
        <v>0</v>
      </c>
      <c r="V19" s="13">
        <f t="shared" si="3"/>
        <v>0</v>
      </c>
      <c r="W19" s="13">
        <f t="shared" si="4"/>
        <v>0</v>
      </c>
      <c r="X19" s="13">
        <f t="shared" si="5"/>
        <v>0</v>
      </c>
      <c r="Y19" s="13">
        <f t="shared" si="6"/>
        <v>10.733333333333333</v>
      </c>
    </row>
    <row r="20" spans="2:25">
      <c r="B20" s="5" t="s">
        <v>70</v>
      </c>
      <c r="C20">
        <v>4</v>
      </c>
      <c r="D20">
        <v>4</v>
      </c>
      <c r="E20">
        <v>6</v>
      </c>
      <c r="F20">
        <v>4</v>
      </c>
      <c r="G20">
        <v>6</v>
      </c>
      <c r="H20">
        <v>7</v>
      </c>
      <c r="I20">
        <v>2</v>
      </c>
      <c r="J20">
        <v>6</v>
      </c>
      <c r="K20">
        <v>1</v>
      </c>
      <c r="M20" s="5" t="s">
        <v>70</v>
      </c>
      <c r="N20" s="13">
        <f>(C20-C6)/1</f>
        <v>4</v>
      </c>
      <c r="O20" s="13">
        <f>(C35-C20)/1.5</f>
        <v>8.6666666666666661</v>
      </c>
      <c r="P20" s="13">
        <f>(C49-C35)/2</f>
        <v>0</v>
      </c>
      <c r="Q20" s="13">
        <f>(C63-C49)/2.5</f>
        <v>0.4</v>
      </c>
      <c r="R20" s="13">
        <f>(C76-C63)/3</f>
        <v>0</v>
      </c>
      <c r="S20" s="13">
        <f t="shared" si="0"/>
        <v>-2</v>
      </c>
      <c r="T20" s="13">
        <f t="shared" si="1"/>
        <v>0.25</v>
      </c>
      <c r="U20" s="13">
        <f t="shared" si="2"/>
        <v>0</v>
      </c>
      <c r="V20" s="13">
        <f t="shared" si="3"/>
        <v>0</v>
      </c>
      <c r="W20" s="13">
        <f t="shared" si="4"/>
        <v>0</v>
      </c>
      <c r="X20" s="13">
        <f t="shared" si="5"/>
        <v>0</v>
      </c>
      <c r="Y20" s="13">
        <f t="shared" si="6"/>
        <v>11.316666666666666</v>
      </c>
    </row>
    <row r="21" spans="2:25">
      <c r="B21" s="5" t="s">
        <v>69</v>
      </c>
      <c r="C21">
        <v>3</v>
      </c>
      <c r="D21">
        <v>2</v>
      </c>
      <c r="E21">
        <v>5</v>
      </c>
      <c r="F21">
        <v>2</v>
      </c>
      <c r="G21">
        <v>6</v>
      </c>
      <c r="H21">
        <v>4</v>
      </c>
      <c r="I21">
        <v>3</v>
      </c>
      <c r="J21">
        <v>4</v>
      </c>
      <c r="K21">
        <v>9</v>
      </c>
      <c r="M21" s="5" t="s">
        <v>69</v>
      </c>
      <c r="N21" s="13">
        <f>(C21-C7)/1</f>
        <v>3</v>
      </c>
      <c r="O21" s="13">
        <f>(C36-C21)/1.5</f>
        <v>6.666666666666667</v>
      </c>
      <c r="P21" s="13">
        <f>(C50-C36)/2</f>
        <v>1.5</v>
      </c>
      <c r="Q21" s="13">
        <f>(C64-C50)/2.5</f>
        <v>0.8</v>
      </c>
      <c r="R21" s="13">
        <f>(C77-C64)/3</f>
        <v>0</v>
      </c>
      <c r="S21" s="13">
        <f t="shared" si="0"/>
        <v>-2</v>
      </c>
      <c r="T21" s="13">
        <f t="shared" si="1"/>
        <v>0</v>
      </c>
      <c r="U21" s="13">
        <f t="shared" si="2"/>
        <v>0</v>
      </c>
      <c r="V21" s="13">
        <f t="shared" si="3"/>
        <v>0</v>
      </c>
      <c r="W21" s="13">
        <f t="shared" si="4"/>
        <v>0</v>
      </c>
      <c r="X21" s="13">
        <f t="shared" si="5"/>
        <v>0</v>
      </c>
      <c r="Y21" s="13">
        <f t="shared" si="6"/>
        <v>9.9666666666666686</v>
      </c>
    </row>
    <row r="22" spans="2:25">
      <c r="B22" s="5" t="s">
        <v>68</v>
      </c>
      <c r="C22">
        <v>4</v>
      </c>
      <c r="D22">
        <v>8</v>
      </c>
      <c r="E22">
        <v>5</v>
      </c>
      <c r="F22">
        <v>2</v>
      </c>
      <c r="G22">
        <v>9</v>
      </c>
      <c r="H22">
        <v>5</v>
      </c>
      <c r="I22">
        <v>2</v>
      </c>
      <c r="J22">
        <v>3</v>
      </c>
      <c r="K22">
        <v>7</v>
      </c>
      <c r="M22" s="5" t="s">
        <v>68</v>
      </c>
      <c r="N22" s="13">
        <f>(C22-C8)/1</f>
        <v>4</v>
      </c>
      <c r="O22" s="13">
        <f>(C37-C22)/1.5</f>
        <v>6.666666666666667</v>
      </c>
      <c r="P22" s="13">
        <f>(C51-C37)/2</f>
        <v>1</v>
      </c>
      <c r="Q22" s="13">
        <f>(C65-C51)/2.5</f>
        <v>0.8</v>
      </c>
      <c r="R22" s="13">
        <f>(C78-C65)/3</f>
        <v>0</v>
      </c>
      <c r="S22" s="13">
        <f t="shared" si="0"/>
        <v>-2.2857142857142856</v>
      </c>
      <c r="T22" s="13">
        <f t="shared" si="1"/>
        <v>0.25</v>
      </c>
      <c r="U22" s="13">
        <f t="shared" si="2"/>
        <v>0</v>
      </c>
      <c r="V22" s="13">
        <f t="shared" si="3"/>
        <v>0</v>
      </c>
      <c r="W22" s="13">
        <f t="shared" si="4"/>
        <v>0</v>
      </c>
      <c r="X22" s="13">
        <f t="shared" si="5"/>
        <v>0</v>
      </c>
      <c r="Y22" s="13">
        <f t="shared" si="6"/>
        <v>10.430952380952384</v>
      </c>
    </row>
    <row r="23" spans="2:25">
      <c r="B23" s="5" t="s">
        <v>67</v>
      </c>
      <c r="C23">
        <v>8</v>
      </c>
      <c r="D23">
        <v>4</v>
      </c>
      <c r="E23">
        <v>3</v>
      </c>
      <c r="F23">
        <v>4</v>
      </c>
      <c r="G23">
        <v>2</v>
      </c>
      <c r="H23">
        <v>6</v>
      </c>
      <c r="I23">
        <v>4</v>
      </c>
      <c r="J23">
        <v>10</v>
      </c>
      <c r="K23">
        <v>8</v>
      </c>
      <c r="M23" s="5" t="s">
        <v>67</v>
      </c>
      <c r="N23" s="13">
        <f>(C23-C9)/1</f>
        <v>8</v>
      </c>
      <c r="O23" s="13">
        <f>(C38-C23)/1.5</f>
        <v>6.666666666666667</v>
      </c>
      <c r="P23" s="13">
        <f>(C52-C38)/2</f>
        <v>0</v>
      </c>
      <c r="Q23" s="13">
        <f>(C66-C52)/2.5</f>
        <v>0</v>
      </c>
      <c r="R23" s="13">
        <f>(C79-C66)/3</f>
        <v>-6</v>
      </c>
      <c r="S23" s="13">
        <f t="shared" si="0"/>
        <v>2.8571428571428572</v>
      </c>
      <c r="T23" s="13">
        <f t="shared" si="1"/>
        <v>0.25</v>
      </c>
      <c r="U23" s="13">
        <f t="shared" si="2"/>
        <v>0</v>
      </c>
      <c r="V23" s="13">
        <f t="shared" si="3"/>
        <v>0</v>
      </c>
      <c r="W23" s="13">
        <f t="shared" si="4"/>
        <v>0</v>
      </c>
      <c r="X23" s="13">
        <f t="shared" si="5"/>
        <v>0</v>
      </c>
      <c r="Y23" s="13">
        <f t="shared" si="6"/>
        <v>11.773809523809526</v>
      </c>
    </row>
    <row r="24" spans="2:25">
      <c r="B24" s="5" t="s">
        <v>108</v>
      </c>
      <c r="C24">
        <v>5</v>
      </c>
      <c r="D24">
        <v>5</v>
      </c>
      <c r="E24">
        <v>4</v>
      </c>
      <c r="F24">
        <v>3</v>
      </c>
      <c r="G24">
        <v>5</v>
      </c>
      <c r="H24">
        <v>6</v>
      </c>
      <c r="I24">
        <v>5</v>
      </c>
      <c r="J24">
        <v>6</v>
      </c>
      <c r="K24">
        <v>6</v>
      </c>
      <c r="M24" s="5" t="s">
        <v>108</v>
      </c>
      <c r="N24" s="13">
        <f>(C24-C10)/1</f>
        <v>5</v>
      </c>
      <c r="O24" s="13"/>
      <c r="X24" s="5" t="s">
        <v>66</v>
      </c>
      <c r="Y24" s="12">
        <f>AVERAGE(Y18:Y23)</f>
        <v>10.484523809523809</v>
      </c>
    </row>
    <row r="25" spans="2:25">
      <c r="B25" s="5" t="s">
        <v>109</v>
      </c>
      <c r="C25">
        <v>4</v>
      </c>
      <c r="D25">
        <v>6</v>
      </c>
      <c r="E25">
        <v>7</v>
      </c>
      <c r="F25">
        <v>3</v>
      </c>
      <c r="G25">
        <v>8</v>
      </c>
      <c r="H25">
        <v>7</v>
      </c>
      <c r="I25">
        <v>6</v>
      </c>
      <c r="J25">
        <v>9</v>
      </c>
      <c r="K25">
        <v>4</v>
      </c>
      <c r="M25" s="5" t="s">
        <v>109</v>
      </c>
      <c r="N25" s="13">
        <f>(C25-C11)/1</f>
        <v>4</v>
      </c>
      <c r="O25" s="13"/>
      <c r="X25" s="5" t="s">
        <v>65</v>
      </c>
      <c r="Y25" s="12">
        <f>STDEV(Y18:Y23)</f>
        <v>1.0884288849721622</v>
      </c>
    </row>
    <row r="26" spans="2:25">
      <c r="B26" s="5" t="s">
        <v>110</v>
      </c>
      <c r="C26">
        <v>3</v>
      </c>
      <c r="D26">
        <v>6</v>
      </c>
      <c r="E26">
        <v>4</v>
      </c>
      <c r="F26">
        <v>4</v>
      </c>
      <c r="G26">
        <v>4</v>
      </c>
      <c r="H26">
        <v>3</v>
      </c>
      <c r="I26">
        <v>6</v>
      </c>
      <c r="J26">
        <v>5</v>
      </c>
      <c r="K26">
        <v>6</v>
      </c>
      <c r="M26" s="5" t="s">
        <v>110</v>
      </c>
      <c r="N26" s="13">
        <f>(C26-C12)/1</f>
        <v>3</v>
      </c>
      <c r="O26" s="13"/>
      <c r="X26" s="5" t="s">
        <v>64</v>
      </c>
      <c r="Y26" s="12">
        <f>CONFIDENCE(0.5,Y25,6)</f>
        <v>0.29970900220914165</v>
      </c>
    </row>
    <row r="27" spans="2:25">
      <c r="B27" s="5" t="s">
        <v>111</v>
      </c>
      <c r="C27">
        <v>5</v>
      </c>
      <c r="D27">
        <v>8</v>
      </c>
      <c r="E27">
        <v>4</v>
      </c>
      <c r="F27">
        <v>5</v>
      </c>
      <c r="G27">
        <v>6</v>
      </c>
      <c r="H27">
        <v>5</v>
      </c>
      <c r="I27">
        <v>7</v>
      </c>
      <c r="J27">
        <v>6</v>
      </c>
      <c r="K27">
        <v>3</v>
      </c>
      <c r="M27" s="5" t="s">
        <v>111</v>
      </c>
      <c r="N27" s="13">
        <f>(C27-C13)/1</f>
        <v>5</v>
      </c>
    </row>
    <row r="31" spans="2:25">
      <c r="D31" s="5" t="s">
        <v>30</v>
      </c>
      <c r="N31" s="10" t="s">
        <v>19</v>
      </c>
    </row>
    <row r="32" spans="2:25">
      <c r="C32" s="5" t="s">
        <v>18</v>
      </c>
      <c r="D32" s="5" t="s">
        <v>19</v>
      </c>
      <c r="E32" s="5" t="s">
        <v>20</v>
      </c>
      <c r="F32" s="5" t="s">
        <v>21</v>
      </c>
      <c r="G32" s="5" t="s">
        <v>22</v>
      </c>
      <c r="H32" t="s">
        <v>23</v>
      </c>
      <c r="I32" t="s">
        <v>24</v>
      </c>
      <c r="J32" t="s">
        <v>25</v>
      </c>
      <c r="K32" t="s">
        <v>26</v>
      </c>
      <c r="N32" s="5" t="s">
        <v>91</v>
      </c>
      <c r="O32" s="10" t="s">
        <v>90</v>
      </c>
      <c r="P32" s="10" t="s">
        <v>89</v>
      </c>
      <c r="Q32" s="10" t="s">
        <v>88</v>
      </c>
      <c r="R32" s="10" t="s">
        <v>38</v>
      </c>
      <c r="S32" s="10" t="s">
        <v>87</v>
      </c>
      <c r="T32" s="10" t="s">
        <v>86</v>
      </c>
      <c r="U32" s="10" t="s">
        <v>85</v>
      </c>
      <c r="V32" s="10" t="s">
        <v>84</v>
      </c>
      <c r="W32" s="5">
        <v>132</v>
      </c>
      <c r="X32" s="5">
        <v>144</v>
      </c>
      <c r="Y32" s="10" t="s">
        <v>83</v>
      </c>
    </row>
    <row r="33" spans="2:25">
      <c r="B33" s="5" t="s">
        <v>72</v>
      </c>
      <c r="C33">
        <v>12</v>
      </c>
      <c r="D33">
        <v>15</v>
      </c>
      <c r="E33">
        <v>18</v>
      </c>
      <c r="F33">
        <v>19</v>
      </c>
      <c r="G33">
        <v>16</v>
      </c>
      <c r="H33">
        <v>17</v>
      </c>
      <c r="I33">
        <v>16</v>
      </c>
      <c r="J33">
        <v>18</v>
      </c>
      <c r="K33">
        <v>17</v>
      </c>
      <c r="M33" s="5" t="s">
        <v>72</v>
      </c>
      <c r="N33" s="13">
        <f>(D18-D4)/1</f>
        <v>3</v>
      </c>
      <c r="O33" s="13">
        <f>(D33-D18)/1.5</f>
        <v>8</v>
      </c>
      <c r="P33" s="13">
        <f>(D47-D33)/2</f>
        <v>0</v>
      </c>
      <c r="Q33" s="13">
        <f>(D61-D47)/2.5</f>
        <v>0.8</v>
      </c>
      <c r="R33" s="13">
        <f>(D74-D61)/3</f>
        <v>0</v>
      </c>
      <c r="S33" s="13">
        <f t="shared" ref="S33:S38" si="7">(D85-D74)/3.5</f>
        <v>-2</v>
      </c>
      <c r="T33" s="13">
        <f t="shared" ref="T33:T38" si="8">(D96-D85)/4</f>
        <v>0</v>
      </c>
      <c r="U33" s="13">
        <f t="shared" ref="U33:U38" si="9">(D107-D96)/4.5</f>
        <v>0</v>
      </c>
      <c r="V33" s="13">
        <f t="shared" ref="V33:V38" si="10">(D120-D107)/5</f>
        <v>0</v>
      </c>
      <c r="W33" s="13">
        <f t="shared" ref="W33:W38" si="11">(D130-D120)/5.5</f>
        <v>0</v>
      </c>
      <c r="X33" s="13">
        <f t="shared" ref="X33:X38" si="12">(D140-D130)/6</f>
        <v>0</v>
      </c>
      <c r="Y33" s="13">
        <f t="shared" ref="Y33:Y38" si="13">SUM(N33:X33)</f>
        <v>9.8000000000000007</v>
      </c>
    </row>
    <row r="34" spans="2:25">
      <c r="B34" s="5" t="s">
        <v>71</v>
      </c>
      <c r="C34">
        <v>16</v>
      </c>
      <c r="D34">
        <v>18</v>
      </c>
      <c r="E34">
        <v>14</v>
      </c>
      <c r="F34">
        <v>16</v>
      </c>
      <c r="G34">
        <v>20</v>
      </c>
      <c r="H34">
        <v>16</v>
      </c>
      <c r="I34">
        <v>13</v>
      </c>
      <c r="J34">
        <v>18</v>
      </c>
      <c r="K34">
        <v>17</v>
      </c>
      <c r="M34" s="5" t="s">
        <v>71</v>
      </c>
      <c r="N34" s="13">
        <f>(D19-D5)/1</f>
        <v>5</v>
      </c>
      <c r="O34" s="13">
        <f>(D34-D19)/1.5</f>
        <v>8.6666666666666661</v>
      </c>
      <c r="P34" s="13">
        <f>(D48-D34)/2</f>
        <v>0</v>
      </c>
      <c r="Q34" s="13">
        <f>(D62-D48)/2.5</f>
        <v>0.4</v>
      </c>
      <c r="R34" s="13">
        <f>(D75-D62)/3</f>
        <v>0</v>
      </c>
      <c r="S34" s="13">
        <f t="shared" si="7"/>
        <v>-2.2857142857142856</v>
      </c>
      <c r="T34" s="13">
        <f t="shared" si="8"/>
        <v>0</v>
      </c>
      <c r="U34" s="13">
        <f t="shared" si="9"/>
        <v>0</v>
      </c>
      <c r="V34" s="13">
        <f t="shared" si="10"/>
        <v>0</v>
      </c>
      <c r="W34" s="13">
        <f t="shared" si="11"/>
        <v>0</v>
      </c>
      <c r="X34" s="13">
        <f t="shared" si="12"/>
        <v>0</v>
      </c>
      <c r="Y34" s="13">
        <f t="shared" si="13"/>
        <v>11.780952380952382</v>
      </c>
    </row>
    <row r="35" spans="2:25">
      <c r="B35" s="5" t="s">
        <v>70</v>
      </c>
      <c r="C35">
        <v>17</v>
      </c>
      <c r="D35">
        <v>15</v>
      </c>
      <c r="E35">
        <v>17</v>
      </c>
      <c r="F35">
        <v>15</v>
      </c>
      <c r="G35">
        <v>16</v>
      </c>
      <c r="H35">
        <v>20</v>
      </c>
      <c r="I35">
        <v>17</v>
      </c>
      <c r="J35">
        <v>18</v>
      </c>
      <c r="K35">
        <v>15</v>
      </c>
      <c r="M35" s="5" t="s">
        <v>70</v>
      </c>
      <c r="N35" s="13">
        <f>(D20-D6)/1</f>
        <v>4</v>
      </c>
      <c r="O35" s="13">
        <f>(D35-D20)/1.5</f>
        <v>7.333333333333333</v>
      </c>
      <c r="P35" s="13">
        <f>(D49-D35)/2</f>
        <v>0.5</v>
      </c>
      <c r="Q35" s="13">
        <f>(D63-D49)/2.5</f>
        <v>0.8</v>
      </c>
      <c r="R35" s="13">
        <f>(D76-D63)/3</f>
        <v>0</v>
      </c>
      <c r="S35" s="13">
        <f t="shared" si="7"/>
        <v>-1.7142857142857142</v>
      </c>
      <c r="T35" s="13">
        <f t="shared" si="8"/>
        <v>0</v>
      </c>
      <c r="U35" s="13">
        <f t="shared" si="9"/>
        <v>0</v>
      </c>
      <c r="V35" s="13">
        <f t="shared" si="10"/>
        <v>0</v>
      </c>
      <c r="W35" s="13">
        <f t="shared" si="11"/>
        <v>0</v>
      </c>
      <c r="X35" s="13">
        <f t="shared" si="12"/>
        <v>0</v>
      </c>
      <c r="Y35" s="13">
        <f t="shared" si="13"/>
        <v>10.919047619047619</v>
      </c>
    </row>
    <row r="36" spans="2:25">
      <c r="B36" s="5" t="s">
        <v>69</v>
      </c>
      <c r="C36">
        <v>13</v>
      </c>
      <c r="D36">
        <v>16</v>
      </c>
      <c r="E36">
        <v>18</v>
      </c>
      <c r="F36">
        <v>17</v>
      </c>
      <c r="G36">
        <v>14</v>
      </c>
      <c r="H36">
        <v>14</v>
      </c>
      <c r="I36">
        <v>15</v>
      </c>
      <c r="J36">
        <v>17</v>
      </c>
      <c r="K36">
        <v>19</v>
      </c>
      <c r="M36" s="5" t="s">
        <v>69</v>
      </c>
      <c r="N36" s="13">
        <f>(D21-D7)/1</f>
        <v>2</v>
      </c>
      <c r="O36" s="13">
        <f>(D36-D21)/1.5</f>
        <v>9.3333333333333339</v>
      </c>
      <c r="P36" s="13">
        <f>(D50-D36)/2</f>
        <v>0</v>
      </c>
      <c r="Q36" s="13">
        <f>(D64-D50)/2.5</f>
        <v>0.4</v>
      </c>
      <c r="R36" s="13">
        <f>(D77-D64)/3</f>
        <v>0</v>
      </c>
      <c r="S36" s="13">
        <f t="shared" si="7"/>
        <v>-2</v>
      </c>
      <c r="T36" s="13">
        <f t="shared" si="8"/>
        <v>0</v>
      </c>
      <c r="U36" s="13">
        <f t="shared" si="9"/>
        <v>0</v>
      </c>
      <c r="V36" s="13">
        <f t="shared" si="10"/>
        <v>0</v>
      </c>
      <c r="W36" s="13">
        <f t="shared" si="11"/>
        <v>0</v>
      </c>
      <c r="X36" s="13">
        <f t="shared" si="12"/>
        <v>0</v>
      </c>
      <c r="Y36" s="13">
        <f t="shared" si="13"/>
        <v>9.7333333333333343</v>
      </c>
    </row>
    <row r="37" spans="2:25">
      <c r="B37" s="5" t="s">
        <v>68</v>
      </c>
      <c r="C37">
        <v>14</v>
      </c>
      <c r="D37">
        <v>20</v>
      </c>
      <c r="E37">
        <v>15</v>
      </c>
      <c r="F37">
        <v>13</v>
      </c>
      <c r="G37">
        <v>19</v>
      </c>
      <c r="H37">
        <v>15</v>
      </c>
      <c r="I37">
        <v>17</v>
      </c>
      <c r="J37">
        <v>18</v>
      </c>
      <c r="K37">
        <v>16</v>
      </c>
      <c r="M37" s="5" t="s">
        <v>68</v>
      </c>
      <c r="N37" s="13">
        <f>(D22-D8)/1</f>
        <v>8</v>
      </c>
      <c r="O37" s="13">
        <f>(D37-D22)/1.5</f>
        <v>8</v>
      </c>
      <c r="P37" s="13">
        <f>(D51-D37)/2</f>
        <v>0</v>
      </c>
      <c r="Q37" s="13">
        <f>(D65-D51)/2.5</f>
        <v>0</v>
      </c>
      <c r="R37" s="13">
        <f>(D78-D65)/3</f>
        <v>0</v>
      </c>
      <c r="S37" s="13">
        <f t="shared" si="7"/>
        <v>-2.8571428571428572</v>
      </c>
      <c r="T37" s="13">
        <f t="shared" si="8"/>
        <v>0</v>
      </c>
      <c r="U37" s="13">
        <f t="shared" si="9"/>
        <v>0</v>
      </c>
      <c r="V37" s="13">
        <f t="shared" si="10"/>
        <v>0</v>
      </c>
      <c r="W37" s="13">
        <f t="shared" si="11"/>
        <v>0</v>
      </c>
      <c r="X37" s="13">
        <f t="shared" si="12"/>
        <v>0</v>
      </c>
      <c r="Y37" s="13">
        <f t="shared" si="13"/>
        <v>13.142857142857142</v>
      </c>
    </row>
    <row r="38" spans="2:25">
      <c r="B38" s="5" t="s">
        <v>67</v>
      </c>
      <c r="C38">
        <v>18</v>
      </c>
      <c r="D38">
        <v>13</v>
      </c>
      <c r="E38">
        <v>14</v>
      </c>
      <c r="F38">
        <v>19</v>
      </c>
      <c r="G38">
        <v>15</v>
      </c>
      <c r="H38">
        <v>18</v>
      </c>
      <c r="I38">
        <v>17</v>
      </c>
      <c r="J38">
        <v>15</v>
      </c>
      <c r="K38">
        <v>16</v>
      </c>
      <c r="M38" s="5" t="s">
        <v>67</v>
      </c>
      <c r="N38" s="13">
        <f>(D23-D9)/1</f>
        <v>4</v>
      </c>
      <c r="O38" s="13">
        <f>(D38-D23)/1.5</f>
        <v>6</v>
      </c>
      <c r="P38" s="13">
        <f>(D52-D38)/2</f>
        <v>0.5</v>
      </c>
      <c r="Q38" s="13">
        <f>(D66-D52)/2.5</f>
        <v>0</v>
      </c>
      <c r="R38" s="13">
        <f>(D79-D66)/3</f>
        <v>-4.666666666666667</v>
      </c>
      <c r="S38" s="13">
        <f t="shared" si="7"/>
        <v>3.1428571428571428</v>
      </c>
      <c r="T38" s="13">
        <f t="shared" si="8"/>
        <v>0</v>
      </c>
      <c r="U38" s="13">
        <f t="shared" si="9"/>
        <v>0</v>
      </c>
      <c r="V38" s="13">
        <f t="shared" si="10"/>
        <v>0</v>
      </c>
      <c r="W38" s="13">
        <f t="shared" si="11"/>
        <v>0</v>
      </c>
      <c r="X38" s="13">
        <f t="shared" si="12"/>
        <v>0</v>
      </c>
      <c r="Y38" s="13">
        <f t="shared" si="13"/>
        <v>8.9761904761904763</v>
      </c>
    </row>
    <row r="39" spans="2:25">
      <c r="B39" s="5" t="s">
        <v>108</v>
      </c>
      <c r="C39">
        <v>15</v>
      </c>
      <c r="D39">
        <v>17</v>
      </c>
      <c r="E39">
        <v>16</v>
      </c>
      <c r="F39">
        <v>14</v>
      </c>
      <c r="G39">
        <v>16</v>
      </c>
      <c r="H39">
        <v>18</v>
      </c>
      <c r="I39">
        <v>13</v>
      </c>
      <c r="J39">
        <v>15</v>
      </c>
      <c r="K39">
        <v>19</v>
      </c>
      <c r="M39" s="5" t="s">
        <v>108</v>
      </c>
      <c r="N39" s="13">
        <f>(D24-D10)/1</f>
        <v>5</v>
      </c>
      <c r="O39" s="13"/>
      <c r="X39" s="5" t="s">
        <v>66</v>
      </c>
      <c r="Y39" s="12">
        <f>AVERAGE(Y33:Y38)</f>
        <v>10.725396825396826</v>
      </c>
    </row>
    <row r="40" spans="2:25">
      <c r="B40" s="5" t="s">
        <v>109</v>
      </c>
      <c r="C40">
        <v>15</v>
      </c>
      <c r="D40">
        <v>16</v>
      </c>
      <c r="E40">
        <v>17</v>
      </c>
      <c r="F40">
        <v>19</v>
      </c>
      <c r="G40">
        <v>19</v>
      </c>
      <c r="H40">
        <v>17</v>
      </c>
      <c r="I40">
        <v>17</v>
      </c>
      <c r="J40">
        <v>15</v>
      </c>
      <c r="K40">
        <v>20</v>
      </c>
      <c r="M40" s="5" t="s">
        <v>109</v>
      </c>
      <c r="N40" s="13">
        <f>(D25-D11)/1</f>
        <v>6</v>
      </c>
      <c r="O40" s="13"/>
      <c r="X40" s="5" t="s">
        <v>65</v>
      </c>
      <c r="Y40" s="12">
        <f>STDEV(Y33:Y38)</f>
        <v>1.5424710471243719</v>
      </c>
    </row>
    <row r="41" spans="2:25">
      <c r="B41" s="5" t="s">
        <v>110</v>
      </c>
      <c r="C41">
        <v>17</v>
      </c>
      <c r="D41">
        <v>18</v>
      </c>
      <c r="E41">
        <v>17</v>
      </c>
      <c r="F41">
        <v>16</v>
      </c>
      <c r="G41">
        <v>16</v>
      </c>
      <c r="H41">
        <v>18</v>
      </c>
      <c r="I41">
        <v>15</v>
      </c>
      <c r="J41">
        <v>16</v>
      </c>
      <c r="K41">
        <v>16</v>
      </c>
      <c r="M41" s="5" t="s">
        <v>110</v>
      </c>
      <c r="N41" s="13">
        <f>(D26-D12)/1</f>
        <v>6</v>
      </c>
      <c r="O41" s="13"/>
      <c r="X41" s="5" t="s">
        <v>64</v>
      </c>
      <c r="Y41" s="12">
        <f>CONFIDENCE(0.5,Y40,6)</f>
        <v>0.42473372845297014</v>
      </c>
    </row>
    <row r="42" spans="2:25">
      <c r="B42" s="5" t="s">
        <v>111</v>
      </c>
      <c r="C42">
        <v>15</v>
      </c>
      <c r="D42">
        <v>19</v>
      </c>
      <c r="E42">
        <v>16</v>
      </c>
      <c r="F42">
        <v>17</v>
      </c>
      <c r="G42">
        <v>19</v>
      </c>
      <c r="H42">
        <v>19</v>
      </c>
      <c r="I42">
        <v>17</v>
      </c>
      <c r="J42">
        <v>16</v>
      </c>
      <c r="K42">
        <v>14</v>
      </c>
      <c r="M42" s="5" t="s">
        <v>111</v>
      </c>
      <c r="N42" s="13">
        <f>(D27-D13)/1</f>
        <v>8</v>
      </c>
    </row>
    <row r="45" spans="2:25">
      <c r="C45" s="5" t="s">
        <v>38</v>
      </c>
      <c r="N45" s="5" t="s">
        <v>20</v>
      </c>
    </row>
    <row r="46" spans="2:25">
      <c r="C46" s="5" t="s">
        <v>18</v>
      </c>
      <c r="D46" s="5" t="s">
        <v>19</v>
      </c>
      <c r="E46" s="5" t="s">
        <v>20</v>
      </c>
      <c r="F46" s="5" t="s">
        <v>21</v>
      </c>
      <c r="G46" s="5" t="s">
        <v>22</v>
      </c>
      <c r="H46" t="s">
        <v>23</v>
      </c>
      <c r="I46" t="s">
        <v>24</v>
      </c>
      <c r="J46" t="s">
        <v>25</v>
      </c>
      <c r="K46" t="s">
        <v>26</v>
      </c>
      <c r="N46" s="5" t="s">
        <v>91</v>
      </c>
      <c r="O46" s="10" t="s">
        <v>90</v>
      </c>
      <c r="P46" s="10" t="s">
        <v>89</v>
      </c>
      <c r="Q46" s="10" t="s">
        <v>88</v>
      </c>
      <c r="R46" s="10" t="s">
        <v>38</v>
      </c>
      <c r="S46" s="10" t="s">
        <v>87</v>
      </c>
      <c r="T46" s="10" t="s">
        <v>86</v>
      </c>
      <c r="U46" s="10" t="s">
        <v>85</v>
      </c>
      <c r="V46" s="10" t="s">
        <v>84</v>
      </c>
      <c r="W46" s="5">
        <v>132</v>
      </c>
      <c r="X46" s="5">
        <v>144</v>
      </c>
      <c r="Y46" s="10" t="s">
        <v>83</v>
      </c>
    </row>
    <row r="47" spans="2:25">
      <c r="B47" s="5" t="s">
        <v>72</v>
      </c>
      <c r="C47">
        <v>14</v>
      </c>
      <c r="D47">
        <v>15</v>
      </c>
      <c r="E47">
        <v>18</v>
      </c>
      <c r="F47">
        <v>20</v>
      </c>
      <c r="G47">
        <v>17</v>
      </c>
      <c r="H47">
        <v>17</v>
      </c>
      <c r="I47">
        <v>16</v>
      </c>
      <c r="J47">
        <v>19</v>
      </c>
      <c r="K47">
        <v>17</v>
      </c>
      <c r="M47" s="5" t="s">
        <v>72</v>
      </c>
      <c r="N47" s="13">
        <f>(E18-E4)/1</f>
        <v>2</v>
      </c>
      <c r="O47" s="13">
        <f>(E33-E18)/1.5</f>
        <v>10.666666666666666</v>
      </c>
      <c r="P47" s="13">
        <f>(E47-E33)/2</f>
        <v>0</v>
      </c>
      <c r="Q47" s="13">
        <f>(E61-E47)/2.5</f>
        <v>0</v>
      </c>
      <c r="R47" s="13">
        <f>(E74-E61)/3</f>
        <v>0</v>
      </c>
      <c r="S47" s="13">
        <f t="shared" ref="S47:S52" si="14">(E85-E74)/3.5</f>
        <v>-2.2857142857142856</v>
      </c>
      <c r="T47" s="13">
        <f t="shared" ref="T47:T52" si="15">(E96-E85)/4</f>
        <v>0.25</v>
      </c>
      <c r="U47" s="13">
        <f t="shared" ref="U47:U52" si="16">(E107-E96)/4.5</f>
        <v>0</v>
      </c>
      <c r="V47" s="13">
        <f t="shared" ref="V47:V52" si="17">(E120-E107)/5</f>
        <v>0</v>
      </c>
      <c r="W47" s="13">
        <f t="shared" ref="W47:W52" si="18">(E130-E120)/5.5</f>
        <v>0</v>
      </c>
      <c r="X47" s="13">
        <f t="shared" ref="X47:X52" si="19">(E140-E130)/6</f>
        <v>0</v>
      </c>
      <c r="Y47" s="13">
        <f t="shared" ref="Y47:Y52" si="20">SUM(N47:X47)</f>
        <v>10.63095238095238</v>
      </c>
    </row>
    <row r="48" spans="2:25">
      <c r="B48" s="5" t="s">
        <v>71</v>
      </c>
      <c r="C48">
        <v>16</v>
      </c>
      <c r="D48">
        <v>18</v>
      </c>
      <c r="E48">
        <v>15</v>
      </c>
      <c r="F48">
        <v>18</v>
      </c>
      <c r="G48">
        <v>20</v>
      </c>
      <c r="H48">
        <v>17</v>
      </c>
      <c r="I48">
        <v>16</v>
      </c>
      <c r="J48">
        <v>18</v>
      </c>
      <c r="K48">
        <v>17</v>
      </c>
      <c r="M48" s="5" t="s">
        <v>71</v>
      </c>
      <c r="N48" s="13">
        <f>(E19-E5)/1</f>
        <v>7</v>
      </c>
      <c r="O48" s="13">
        <f>(E34-E19)/1.5</f>
        <v>4.666666666666667</v>
      </c>
      <c r="P48" s="13">
        <f>(E48-E34)/2</f>
        <v>0.5</v>
      </c>
      <c r="Q48" s="13">
        <f>(E62-E48)/2.5</f>
        <v>0.4</v>
      </c>
      <c r="R48" s="13">
        <f>(E75-E62)/3</f>
        <v>0</v>
      </c>
      <c r="S48" s="13">
        <f t="shared" si="14"/>
        <v>-2</v>
      </c>
      <c r="T48" s="13">
        <f t="shared" si="15"/>
        <v>0</v>
      </c>
      <c r="U48" s="13">
        <f t="shared" si="16"/>
        <v>0</v>
      </c>
      <c r="V48" s="13">
        <f t="shared" si="17"/>
        <v>0</v>
      </c>
      <c r="W48" s="13">
        <f t="shared" si="18"/>
        <v>0</v>
      </c>
      <c r="X48" s="13">
        <f t="shared" si="19"/>
        <v>0</v>
      </c>
      <c r="Y48" s="13">
        <f t="shared" si="20"/>
        <v>10.566666666666668</v>
      </c>
    </row>
    <row r="49" spans="2:25">
      <c r="B49" s="5" t="s">
        <v>70</v>
      </c>
      <c r="C49">
        <v>17</v>
      </c>
      <c r="D49">
        <v>16</v>
      </c>
      <c r="E49">
        <v>15</v>
      </c>
      <c r="F49">
        <v>18</v>
      </c>
      <c r="G49">
        <v>19</v>
      </c>
      <c r="H49">
        <v>20</v>
      </c>
      <c r="I49">
        <v>17</v>
      </c>
      <c r="J49">
        <v>18</v>
      </c>
      <c r="K49">
        <v>15</v>
      </c>
      <c r="M49" s="5" t="s">
        <v>70</v>
      </c>
      <c r="N49" s="13">
        <f>(E20-E6)/1</f>
        <v>6</v>
      </c>
      <c r="O49" s="13">
        <f>(E35-E20)/1.5</f>
        <v>7.333333333333333</v>
      </c>
      <c r="P49" s="13">
        <f>(E49-E35)/2</f>
        <v>-1</v>
      </c>
      <c r="Q49" s="13">
        <f>(E63-E49)/2.5</f>
        <v>1.6</v>
      </c>
      <c r="R49" s="13">
        <f>(E76-E63)/3</f>
        <v>0</v>
      </c>
      <c r="S49" s="13">
        <f t="shared" si="14"/>
        <v>-2.5714285714285716</v>
      </c>
      <c r="T49" s="13">
        <f t="shared" si="15"/>
        <v>0</v>
      </c>
      <c r="U49" s="13">
        <f t="shared" si="16"/>
        <v>0</v>
      </c>
      <c r="V49" s="13">
        <f t="shared" si="17"/>
        <v>0</v>
      </c>
      <c r="W49" s="13">
        <f t="shared" si="18"/>
        <v>0</v>
      </c>
      <c r="X49" s="13">
        <f t="shared" si="19"/>
        <v>0</v>
      </c>
      <c r="Y49" s="13">
        <f t="shared" si="20"/>
        <v>11.361904761904761</v>
      </c>
    </row>
    <row r="50" spans="2:25">
      <c r="B50" s="5" t="s">
        <v>69</v>
      </c>
      <c r="C50">
        <v>16</v>
      </c>
      <c r="D50">
        <v>16</v>
      </c>
      <c r="E50">
        <v>18</v>
      </c>
      <c r="F50">
        <v>19</v>
      </c>
      <c r="G50">
        <v>14</v>
      </c>
      <c r="H50">
        <v>14</v>
      </c>
      <c r="I50">
        <v>15</v>
      </c>
      <c r="J50">
        <v>18</v>
      </c>
      <c r="K50">
        <v>19</v>
      </c>
      <c r="M50" s="5" t="s">
        <v>69</v>
      </c>
      <c r="N50" s="13">
        <f>(E21-E7)/1</f>
        <v>5</v>
      </c>
      <c r="O50" s="13">
        <f>(E36-E21)/1.5</f>
        <v>8.6666666666666661</v>
      </c>
      <c r="P50" s="13">
        <f>(E50-E36)/2</f>
        <v>0</v>
      </c>
      <c r="Q50" s="13">
        <f>(E64-E50)/2.5</f>
        <v>0</v>
      </c>
      <c r="R50" s="13">
        <f>(E77-E64)/3</f>
        <v>0</v>
      </c>
      <c r="S50" s="13">
        <f t="shared" si="14"/>
        <v>-2.2857142857142856</v>
      </c>
      <c r="T50" s="13">
        <f t="shared" si="15"/>
        <v>0</v>
      </c>
      <c r="U50" s="13">
        <f t="shared" si="16"/>
        <v>0</v>
      </c>
      <c r="V50" s="13">
        <f t="shared" si="17"/>
        <v>0</v>
      </c>
      <c r="W50" s="13">
        <f t="shared" si="18"/>
        <v>0</v>
      </c>
      <c r="X50" s="13">
        <f t="shared" si="19"/>
        <v>0</v>
      </c>
      <c r="Y50" s="13">
        <f t="shared" si="20"/>
        <v>11.38095238095238</v>
      </c>
    </row>
    <row r="51" spans="2:25">
      <c r="B51" s="5" t="s">
        <v>68</v>
      </c>
      <c r="C51">
        <v>16</v>
      </c>
      <c r="D51">
        <v>20</v>
      </c>
      <c r="E51">
        <v>17</v>
      </c>
      <c r="F51">
        <v>18</v>
      </c>
      <c r="G51">
        <v>19</v>
      </c>
      <c r="H51">
        <v>16</v>
      </c>
      <c r="I51">
        <v>17</v>
      </c>
      <c r="J51">
        <v>19</v>
      </c>
      <c r="K51">
        <v>16</v>
      </c>
      <c r="M51" s="5" t="s">
        <v>68</v>
      </c>
      <c r="N51" s="13">
        <f>(E22-E8)/1</f>
        <v>5</v>
      </c>
      <c r="O51" s="13">
        <f>(E37-E22)/1.5</f>
        <v>6.666666666666667</v>
      </c>
      <c r="P51" s="13">
        <f>(E51-E37)/2</f>
        <v>1</v>
      </c>
      <c r="Q51" s="13">
        <f>(E65-E51)/2.5</f>
        <v>0.8</v>
      </c>
      <c r="R51" s="13">
        <f>(E78-E65)/3</f>
        <v>0</v>
      </c>
      <c r="S51" s="13">
        <f t="shared" si="14"/>
        <v>-2.5714285714285716</v>
      </c>
      <c r="T51" s="13">
        <f t="shared" si="15"/>
        <v>0.25</v>
      </c>
      <c r="U51" s="13">
        <f t="shared" si="16"/>
        <v>0</v>
      </c>
      <c r="V51" s="13">
        <f t="shared" si="17"/>
        <v>0</v>
      </c>
      <c r="W51" s="13">
        <f t="shared" si="18"/>
        <v>0</v>
      </c>
      <c r="X51" s="13">
        <f t="shared" si="19"/>
        <v>0</v>
      </c>
      <c r="Y51" s="13">
        <f t="shared" si="20"/>
        <v>11.145238095238097</v>
      </c>
    </row>
    <row r="52" spans="2:25">
      <c r="B52" s="5" t="s">
        <v>67</v>
      </c>
      <c r="C52">
        <v>18</v>
      </c>
      <c r="D52">
        <v>14</v>
      </c>
      <c r="E52">
        <v>17</v>
      </c>
      <c r="F52">
        <v>17</v>
      </c>
      <c r="G52">
        <v>16</v>
      </c>
      <c r="H52">
        <v>19</v>
      </c>
      <c r="I52">
        <v>17</v>
      </c>
      <c r="J52">
        <v>16</v>
      </c>
      <c r="K52">
        <v>16</v>
      </c>
      <c r="M52" s="5" t="s">
        <v>67</v>
      </c>
      <c r="N52" s="13">
        <f>(E23-E9)/1</f>
        <v>3</v>
      </c>
      <c r="O52" s="13">
        <f>(E38-E23)/1.5</f>
        <v>7.333333333333333</v>
      </c>
      <c r="P52" s="13">
        <f>(E52-E38)/2</f>
        <v>1.5</v>
      </c>
      <c r="Q52" s="13">
        <f>(E66-E52)/2.5</f>
        <v>0</v>
      </c>
      <c r="R52" s="13">
        <f>(E79-E66)/3</f>
        <v>-5.666666666666667</v>
      </c>
      <c r="S52" s="13">
        <f t="shared" si="14"/>
        <v>3.1428571428571428</v>
      </c>
      <c r="T52" s="13">
        <f t="shared" si="15"/>
        <v>0</v>
      </c>
      <c r="U52" s="13">
        <f t="shared" si="16"/>
        <v>0</v>
      </c>
      <c r="V52" s="13">
        <f t="shared" si="17"/>
        <v>0</v>
      </c>
      <c r="W52" s="13">
        <f t="shared" si="18"/>
        <v>0</v>
      </c>
      <c r="X52" s="13">
        <f t="shared" si="19"/>
        <v>0</v>
      </c>
      <c r="Y52" s="13">
        <f t="shared" si="20"/>
        <v>9.3095238095238084</v>
      </c>
    </row>
    <row r="53" spans="2:25">
      <c r="B53" s="5" t="s">
        <v>108</v>
      </c>
      <c r="C53">
        <v>16</v>
      </c>
      <c r="D53">
        <v>18</v>
      </c>
      <c r="E53">
        <v>16</v>
      </c>
      <c r="F53">
        <v>16</v>
      </c>
      <c r="G53">
        <v>18</v>
      </c>
      <c r="H53">
        <v>19</v>
      </c>
      <c r="I53">
        <v>16</v>
      </c>
      <c r="J53">
        <v>18</v>
      </c>
      <c r="K53">
        <v>19</v>
      </c>
      <c r="M53" s="5" t="s">
        <v>108</v>
      </c>
      <c r="N53" s="13">
        <f>(E24-E10)/1</f>
        <v>4</v>
      </c>
      <c r="O53" s="13"/>
      <c r="X53" s="5" t="s">
        <v>66</v>
      </c>
      <c r="Y53" s="12">
        <f>AVERAGE(Y47:Y52)</f>
        <v>10.732539682539683</v>
      </c>
    </row>
    <row r="54" spans="2:25">
      <c r="B54" s="5" t="s">
        <v>109</v>
      </c>
      <c r="C54">
        <v>17</v>
      </c>
      <c r="D54">
        <v>16</v>
      </c>
      <c r="E54">
        <v>18</v>
      </c>
      <c r="F54">
        <v>20</v>
      </c>
      <c r="G54">
        <v>19</v>
      </c>
      <c r="H54">
        <v>18</v>
      </c>
      <c r="I54">
        <v>17</v>
      </c>
      <c r="J54">
        <v>17</v>
      </c>
      <c r="K54">
        <v>20</v>
      </c>
      <c r="M54" s="5" t="s">
        <v>109</v>
      </c>
      <c r="N54" s="13">
        <f>(E25-E11)/1</f>
        <v>7</v>
      </c>
      <c r="O54" s="13"/>
      <c r="X54" s="5" t="s">
        <v>65</v>
      </c>
      <c r="Y54" s="12">
        <f>STDEV(Y47:Y52)</f>
        <v>0.78098238424749644</v>
      </c>
    </row>
    <row r="55" spans="2:25">
      <c r="B55" s="5" t="s">
        <v>110</v>
      </c>
      <c r="C55">
        <v>17</v>
      </c>
      <c r="D55">
        <v>18</v>
      </c>
      <c r="E55">
        <v>18</v>
      </c>
      <c r="F55">
        <v>17</v>
      </c>
      <c r="G55">
        <v>16</v>
      </c>
      <c r="H55">
        <v>18</v>
      </c>
      <c r="I55">
        <v>16</v>
      </c>
      <c r="J55">
        <v>16</v>
      </c>
      <c r="K55">
        <v>16</v>
      </c>
      <c r="M55" s="5" t="s">
        <v>110</v>
      </c>
      <c r="N55" s="13">
        <f>(E26-E12)/1</f>
        <v>4</v>
      </c>
      <c r="O55" s="13"/>
      <c r="X55" s="5" t="s">
        <v>64</v>
      </c>
      <c r="Y55" s="12">
        <f>CONFIDENCE(0.5,Y54,6)</f>
        <v>0.21505075283969535</v>
      </c>
    </row>
    <row r="56" spans="2:25">
      <c r="B56" s="5" t="s">
        <v>111</v>
      </c>
      <c r="C56">
        <v>17</v>
      </c>
      <c r="D56">
        <v>19</v>
      </c>
      <c r="E56">
        <v>17</v>
      </c>
      <c r="F56">
        <v>17</v>
      </c>
      <c r="G56">
        <v>19</v>
      </c>
      <c r="H56">
        <v>19</v>
      </c>
      <c r="I56">
        <v>20</v>
      </c>
      <c r="J56">
        <v>17</v>
      </c>
      <c r="K56">
        <v>15</v>
      </c>
      <c r="M56" s="5" t="s">
        <v>111</v>
      </c>
      <c r="N56" s="13">
        <f>(E27-E13)/1</f>
        <v>4</v>
      </c>
    </row>
    <row r="58" spans="2:25">
      <c r="N58" s="5" t="s">
        <v>21</v>
      </c>
    </row>
    <row r="59" spans="2:25">
      <c r="C59" s="5" t="s">
        <v>32</v>
      </c>
      <c r="N59" s="5" t="s">
        <v>91</v>
      </c>
      <c r="O59" s="10" t="s">
        <v>90</v>
      </c>
      <c r="P59" s="10" t="s">
        <v>89</v>
      </c>
      <c r="Q59" s="10" t="s">
        <v>88</v>
      </c>
      <c r="R59" s="10" t="s">
        <v>38</v>
      </c>
      <c r="S59" s="10" t="s">
        <v>87</v>
      </c>
      <c r="T59" s="10" t="s">
        <v>86</v>
      </c>
      <c r="U59" s="10" t="s">
        <v>85</v>
      </c>
      <c r="V59" s="10" t="s">
        <v>84</v>
      </c>
      <c r="W59" s="5">
        <v>132</v>
      </c>
      <c r="X59" s="5">
        <v>144</v>
      </c>
      <c r="Y59" s="10" t="s">
        <v>83</v>
      </c>
    </row>
    <row r="60" spans="2:25">
      <c r="C60" s="5" t="s">
        <v>18</v>
      </c>
      <c r="D60" s="5" t="s">
        <v>19</v>
      </c>
      <c r="E60" s="5" t="s">
        <v>20</v>
      </c>
      <c r="F60" s="5" t="s">
        <v>21</v>
      </c>
      <c r="G60" s="5" t="s">
        <v>22</v>
      </c>
      <c r="H60" t="s">
        <v>23</v>
      </c>
      <c r="I60" t="s">
        <v>24</v>
      </c>
      <c r="J60" t="s">
        <v>25</v>
      </c>
      <c r="K60" t="s">
        <v>26</v>
      </c>
      <c r="M60" s="5" t="s">
        <v>72</v>
      </c>
      <c r="N60" s="13">
        <f>(F18-F4)/1</f>
        <v>4</v>
      </c>
      <c r="O60" s="13">
        <f>(F33-F18)/1.5</f>
        <v>10</v>
      </c>
      <c r="P60" s="13">
        <f>(F47-F33)/2</f>
        <v>0.5</v>
      </c>
      <c r="Q60" s="13">
        <f>(F61-F47)/2.5</f>
        <v>0</v>
      </c>
      <c r="R60" s="13">
        <f>(F74-F61)/3</f>
        <v>0</v>
      </c>
      <c r="S60" s="13">
        <f t="shared" ref="S60:S65" si="21">(F85-F74)/3.5</f>
        <v>-2.5714285714285716</v>
      </c>
      <c r="T60" s="13">
        <f t="shared" ref="T60:T65" si="22">(F96-F85)/4</f>
        <v>0</v>
      </c>
      <c r="U60" s="13">
        <f t="shared" ref="U60:U65" si="23">(F107-F96)/4.5</f>
        <v>0</v>
      </c>
      <c r="V60" s="13">
        <f t="shared" ref="V60:V65" si="24">(F120-F107)/5</f>
        <v>0</v>
      </c>
      <c r="W60" s="13">
        <f t="shared" ref="W60:W65" si="25">(F140-F130)/5.5</f>
        <v>0</v>
      </c>
      <c r="X60" s="13">
        <f t="shared" ref="X60:X65" si="26">(F140-F130)/6</f>
        <v>0</v>
      </c>
      <c r="Y60" s="13">
        <f t="shared" ref="Y60:Y65" si="27">SUM(N60:X60)</f>
        <v>11.928571428571429</v>
      </c>
    </row>
    <row r="61" spans="2:25">
      <c r="B61" s="5" t="s">
        <v>72</v>
      </c>
      <c r="C61">
        <v>15</v>
      </c>
      <c r="D61">
        <v>17</v>
      </c>
      <c r="E61">
        <v>18</v>
      </c>
      <c r="F61">
        <v>20</v>
      </c>
      <c r="G61">
        <v>18</v>
      </c>
      <c r="H61">
        <v>17</v>
      </c>
      <c r="I61">
        <v>17</v>
      </c>
      <c r="J61">
        <v>19</v>
      </c>
      <c r="K61">
        <v>18</v>
      </c>
      <c r="M61" s="5" t="s">
        <v>71</v>
      </c>
      <c r="N61" s="13">
        <f>(F19-F5)/1</f>
        <v>3</v>
      </c>
      <c r="O61" s="13">
        <f>(F34-F19)/1.5</f>
        <v>8.6666666666666661</v>
      </c>
      <c r="P61" s="13">
        <f>(F48-F34)/2</f>
        <v>1</v>
      </c>
      <c r="Q61" s="13">
        <f>(F62-F48)/2.5</f>
        <v>0.8</v>
      </c>
      <c r="R61" s="13">
        <f>(F75-F62)/3</f>
        <v>0</v>
      </c>
      <c r="S61" s="13">
        <f t="shared" si="21"/>
        <v>-2.8571428571428572</v>
      </c>
      <c r="T61" s="13">
        <f t="shared" si="22"/>
        <v>0</v>
      </c>
      <c r="U61" s="13">
        <f t="shared" si="23"/>
        <v>0.22222222222222221</v>
      </c>
      <c r="V61" s="13">
        <f t="shared" si="24"/>
        <v>0</v>
      </c>
      <c r="W61" s="13">
        <f t="shared" si="25"/>
        <v>0.36363636363636365</v>
      </c>
      <c r="X61" s="13">
        <f t="shared" si="26"/>
        <v>0.33333333333333331</v>
      </c>
      <c r="Y61" s="13">
        <f t="shared" si="27"/>
        <v>11.528715728715728</v>
      </c>
    </row>
    <row r="62" spans="2:25">
      <c r="B62" s="5" t="s">
        <v>71</v>
      </c>
      <c r="C62">
        <v>17</v>
      </c>
      <c r="D62">
        <v>19</v>
      </c>
      <c r="E62">
        <v>16</v>
      </c>
      <c r="F62">
        <v>20</v>
      </c>
      <c r="G62">
        <v>20</v>
      </c>
      <c r="H62">
        <v>17</v>
      </c>
      <c r="I62">
        <v>17</v>
      </c>
      <c r="J62">
        <v>18</v>
      </c>
      <c r="K62">
        <v>17</v>
      </c>
      <c r="M62" s="5" t="s">
        <v>70</v>
      </c>
      <c r="N62" s="13">
        <f>(F20-F6)/1</f>
        <v>4</v>
      </c>
      <c r="O62" s="13">
        <f>(F35-F20)/1.5</f>
        <v>7.333333333333333</v>
      </c>
      <c r="P62" s="13">
        <f>(F49-F35)/2</f>
        <v>1.5</v>
      </c>
      <c r="Q62" s="13">
        <f>(F63-F49)/2.5</f>
        <v>0.4</v>
      </c>
      <c r="R62" s="13">
        <f>(F76-F63)/3</f>
        <v>0</v>
      </c>
      <c r="S62" s="13">
        <f t="shared" si="21"/>
        <v>-2.8571428571428572</v>
      </c>
      <c r="T62" s="13">
        <f t="shared" si="22"/>
        <v>0</v>
      </c>
      <c r="U62" s="13">
        <f t="shared" si="23"/>
        <v>0</v>
      </c>
      <c r="V62" s="13">
        <f t="shared" si="24"/>
        <v>0</v>
      </c>
      <c r="W62" s="13">
        <f t="shared" si="25"/>
        <v>0</v>
      </c>
      <c r="X62" s="13">
        <f t="shared" si="26"/>
        <v>0</v>
      </c>
      <c r="Y62" s="13">
        <f t="shared" si="27"/>
        <v>10.376190476190475</v>
      </c>
    </row>
    <row r="63" spans="2:25">
      <c r="B63" s="5" t="s">
        <v>70</v>
      </c>
      <c r="C63">
        <v>18</v>
      </c>
      <c r="D63">
        <v>18</v>
      </c>
      <c r="E63">
        <v>19</v>
      </c>
      <c r="F63">
        <v>19</v>
      </c>
      <c r="G63">
        <v>19</v>
      </c>
      <c r="H63">
        <v>20</v>
      </c>
      <c r="I63">
        <v>18</v>
      </c>
      <c r="J63">
        <v>18</v>
      </c>
      <c r="K63">
        <v>16</v>
      </c>
      <c r="M63" s="5" t="s">
        <v>69</v>
      </c>
      <c r="N63" s="13">
        <f>(F21-F7)/1</f>
        <v>2</v>
      </c>
      <c r="O63" s="13">
        <f>(F36-F21)/1.5</f>
        <v>10</v>
      </c>
      <c r="P63" s="13">
        <f>(F50-F36)/2</f>
        <v>1</v>
      </c>
      <c r="Q63" s="13">
        <f>(F64-F50)/2.5</f>
        <v>0</v>
      </c>
      <c r="R63" s="13">
        <f>(F77-F64)/3</f>
        <v>0</v>
      </c>
      <c r="S63" s="13">
        <f t="shared" si="21"/>
        <v>-2.2857142857142856</v>
      </c>
      <c r="T63" s="13">
        <f t="shared" si="22"/>
        <v>0</v>
      </c>
      <c r="U63" s="13">
        <f t="shared" si="23"/>
        <v>0</v>
      </c>
      <c r="V63" s="13">
        <f t="shared" si="24"/>
        <v>0</v>
      </c>
      <c r="W63" s="13">
        <f t="shared" si="25"/>
        <v>0</v>
      </c>
      <c r="X63" s="13">
        <f t="shared" si="26"/>
        <v>0</v>
      </c>
      <c r="Y63" s="13">
        <f t="shared" si="27"/>
        <v>10.714285714285715</v>
      </c>
    </row>
    <row r="64" spans="2:25">
      <c r="B64" s="5" t="s">
        <v>69</v>
      </c>
      <c r="C64">
        <v>18</v>
      </c>
      <c r="D64">
        <v>17</v>
      </c>
      <c r="E64">
        <v>18</v>
      </c>
      <c r="F64">
        <v>19</v>
      </c>
      <c r="G64">
        <v>15</v>
      </c>
      <c r="H64">
        <v>15</v>
      </c>
      <c r="I64">
        <v>16</v>
      </c>
      <c r="J64">
        <v>18</v>
      </c>
      <c r="K64">
        <v>19</v>
      </c>
      <c r="M64" s="5" t="s">
        <v>68</v>
      </c>
      <c r="N64" s="13">
        <f>(F22-F8)/1</f>
        <v>2</v>
      </c>
      <c r="O64" s="13">
        <f>(F37-F22)/1.5</f>
        <v>7.333333333333333</v>
      </c>
      <c r="P64" s="13">
        <f>(F51-F37)/2</f>
        <v>2.5</v>
      </c>
      <c r="Q64" s="13">
        <f>(F65-F51)/2.5</f>
        <v>0</v>
      </c>
      <c r="R64" s="13">
        <f>(F78-F65)/3</f>
        <v>0</v>
      </c>
      <c r="S64" s="13">
        <f t="shared" si="21"/>
        <v>-2</v>
      </c>
      <c r="T64" s="13">
        <f t="shared" si="22"/>
        <v>0</v>
      </c>
      <c r="U64" s="13">
        <f t="shared" si="23"/>
        <v>0</v>
      </c>
      <c r="V64" s="13">
        <f t="shared" si="24"/>
        <v>0</v>
      </c>
      <c r="W64" s="13">
        <f t="shared" si="25"/>
        <v>0</v>
      </c>
      <c r="X64" s="13">
        <f t="shared" si="26"/>
        <v>0</v>
      </c>
      <c r="Y64" s="13">
        <f t="shared" si="27"/>
        <v>9.8333333333333321</v>
      </c>
    </row>
    <row r="65" spans="2:25">
      <c r="B65" s="5" t="s">
        <v>68</v>
      </c>
      <c r="C65">
        <v>18</v>
      </c>
      <c r="D65">
        <v>20</v>
      </c>
      <c r="E65">
        <v>19</v>
      </c>
      <c r="F65">
        <v>18</v>
      </c>
      <c r="G65">
        <v>20</v>
      </c>
      <c r="H65">
        <v>18</v>
      </c>
      <c r="I65">
        <v>19</v>
      </c>
      <c r="J65">
        <v>19</v>
      </c>
      <c r="K65">
        <v>19</v>
      </c>
      <c r="M65" s="5" t="s">
        <v>67</v>
      </c>
      <c r="N65" s="13">
        <f t="shared" ref="N65:N69" si="28">(F23-F9)/1</f>
        <v>4</v>
      </c>
      <c r="O65" s="13">
        <f>(F38-F23)/1.5</f>
        <v>10</v>
      </c>
      <c r="P65" s="13">
        <f>(F52-F38)/2</f>
        <v>-1</v>
      </c>
      <c r="Q65" s="13">
        <f>(F66-F52)/2.5</f>
        <v>0.8</v>
      </c>
      <c r="R65" s="13">
        <f>(F79-F66)/3</f>
        <v>-6.333333333333333</v>
      </c>
      <c r="S65" s="13">
        <f t="shared" si="21"/>
        <v>3.1428571428571428</v>
      </c>
      <c r="T65" s="13">
        <f t="shared" si="22"/>
        <v>0</v>
      </c>
      <c r="U65" s="13">
        <f t="shared" si="23"/>
        <v>0</v>
      </c>
      <c r="V65" s="13">
        <f t="shared" si="24"/>
        <v>0</v>
      </c>
      <c r="W65" s="13">
        <f t="shared" si="25"/>
        <v>0</v>
      </c>
      <c r="X65" s="13">
        <f t="shared" si="26"/>
        <v>0</v>
      </c>
      <c r="Y65" s="13">
        <f t="shared" si="27"/>
        <v>10.609523809523811</v>
      </c>
    </row>
    <row r="66" spans="2:25">
      <c r="B66" s="5" t="s">
        <v>67</v>
      </c>
      <c r="C66">
        <v>18</v>
      </c>
      <c r="D66">
        <v>14</v>
      </c>
      <c r="E66">
        <v>17</v>
      </c>
      <c r="F66">
        <v>19</v>
      </c>
      <c r="G66">
        <v>16</v>
      </c>
      <c r="H66">
        <v>20</v>
      </c>
      <c r="I66">
        <v>17</v>
      </c>
      <c r="J66">
        <v>18</v>
      </c>
      <c r="K66">
        <v>16</v>
      </c>
      <c r="M66" s="5" t="s">
        <v>108</v>
      </c>
      <c r="N66" s="13">
        <f t="shared" si="28"/>
        <v>3</v>
      </c>
      <c r="O66" s="13"/>
      <c r="X66" s="5" t="s">
        <v>66</v>
      </c>
      <c r="Y66" s="12">
        <f>AVERAGE(Y60:Y65)</f>
        <v>10.831770081770081</v>
      </c>
    </row>
    <row r="67" spans="2:25">
      <c r="B67" s="5" t="s">
        <v>108</v>
      </c>
      <c r="C67">
        <v>16</v>
      </c>
      <c r="D67">
        <v>18</v>
      </c>
      <c r="E67">
        <v>16</v>
      </c>
      <c r="F67">
        <v>16</v>
      </c>
      <c r="G67">
        <v>18</v>
      </c>
      <c r="H67">
        <v>19</v>
      </c>
      <c r="I67">
        <v>16</v>
      </c>
      <c r="J67">
        <v>18</v>
      </c>
      <c r="K67">
        <v>19</v>
      </c>
      <c r="M67" s="5" t="s">
        <v>109</v>
      </c>
      <c r="N67" s="13">
        <f t="shared" si="28"/>
        <v>3</v>
      </c>
      <c r="O67" s="13"/>
      <c r="X67" s="5" t="s">
        <v>65</v>
      </c>
      <c r="Y67" s="12">
        <f>STDEV(Y60:Y65)</f>
        <v>0.76893837580412383</v>
      </c>
    </row>
    <row r="68" spans="2:25">
      <c r="B68" s="5" t="s">
        <v>109</v>
      </c>
      <c r="C68">
        <v>19</v>
      </c>
      <c r="D68">
        <v>16</v>
      </c>
      <c r="E68">
        <v>19</v>
      </c>
      <c r="F68">
        <v>20</v>
      </c>
      <c r="G68">
        <v>19</v>
      </c>
      <c r="H68">
        <v>18</v>
      </c>
      <c r="I68">
        <v>17</v>
      </c>
      <c r="J68">
        <v>18</v>
      </c>
      <c r="K68">
        <v>20</v>
      </c>
      <c r="M68" s="5" t="s">
        <v>110</v>
      </c>
      <c r="N68" s="13">
        <f t="shared" si="28"/>
        <v>4</v>
      </c>
      <c r="O68" s="13"/>
      <c r="X68" s="5" t="s">
        <v>64</v>
      </c>
      <c r="Y68" s="12">
        <f>CONFIDENCE(0.5,Y67,6)</f>
        <v>0.21173432325665098</v>
      </c>
    </row>
    <row r="69" spans="2:25">
      <c r="B69" s="5" t="s">
        <v>110</v>
      </c>
      <c r="C69">
        <v>17</v>
      </c>
      <c r="D69">
        <v>18</v>
      </c>
      <c r="E69">
        <v>18</v>
      </c>
      <c r="F69">
        <v>17</v>
      </c>
      <c r="G69">
        <v>17</v>
      </c>
      <c r="H69">
        <v>18</v>
      </c>
      <c r="I69">
        <v>16</v>
      </c>
      <c r="J69">
        <v>16</v>
      </c>
      <c r="K69">
        <v>16</v>
      </c>
      <c r="M69" s="5" t="s">
        <v>111</v>
      </c>
      <c r="N69" s="13">
        <f>(F27-F13)/1</f>
        <v>5</v>
      </c>
    </row>
    <row r="70" spans="2:25">
      <c r="B70" s="5" t="s">
        <v>111</v>
      </c>
      <c r="C70">
        <v>17</v>
      </c>
      <c r="D70">
        <v>19</v>
      </c>
      <c r="E70">
        <v>18</v>
      </c>
      <c r="F70">
        <v>17</v>
      </c>
      <c r="G70">
        <v>19</v>
      </c>
      <c r="H70">
        <v>19</v>
      </c>
      <c r="I70">
        <v>20</v>
      </c>
      <c r="J70">
        <v>18</v>
      </c>
      <c r="K70">
        <v>15</v>
      </c>
    </row>
    <row r="71" spans="2:25">
      <c r="N71" s="5" t="s">
        <v>22</v>
      </c>
    </row>
    <row r="72" spans="2:25">
      <c r="C72" s="5" t="s">
        <v>33</v>
      </c>
      <c r="N72" s="5" t="s">
        <v>91</v>
      </c>
      <c r="O72" s="10" t="s">
        <v>90</v>
      </c>
      <c r="P72" s="10" t="s">
        <v>89</v>
      </c>
      <c r="Q72" s="10" t="s">
        <v>88</v>
      </c>
      <c r="R72" s="10" t="s">
        <v>38</v>
      </c>
      <c r="S72" s="10" t="s">
        <v>87</v>
      </c>
      <c r="T72" s="10" t="s">
        <v>86</v>
      </c>
      <c r="U72" s="10" t="s">
        <v>85</v>
      </c>
      <c r="V72" s="10" t="s">
        <v>84</v>
      </c>
      <c r="W72" s="5">
        <v>132</v>
      </c>
      <c r="X72" s="5">
        <v>144</v>
      </c>
      <c r="Y72" s="10" t="s">
        <v>83</v>
      </c>
    </row>
    <row r="73" spans="2:25">
      <c r="C73" s="5" t="s">
        <v>18</v>
      </c>
      <c r="D73" s="5" t="s">
        <v>19</v>
      </c>
      <c r="E73" s="5" t="s">
        <v>20</v>
      </c>
      <c r="F73" s="5" t="s">
        <v>21</v>
      </c>
      <c r="G73" s="5" t="s">
        <v>22</v>
      </c>
      <c r="H73" t="s">
        <v>23</v>
      </c>
      <c r="I73" t="s">
        <v>24</v>
      </c>
      <c r="J73" t="s">
        <v>25</v>
      </c>
      <c r="K73" t="s">
        <v>26</v>
      </c>
      <c r="M73" s="5" t="s">
        <v>72</v>
      </c>
      <c r="N73" s="13">
        <f>(G18-G4)/1</f>
        <v>8</v>
      </c>
      <c r="O73" s="13">
        <f>(G33-G18)/1.5</f>
        <v>5.333333333333333</v>
      </c>
      <c r="P73" s="13">
        <f>(G47-G33)/2</f>
        <v>0.5</v>
      </c>
      <c r="Q73" s="13">
        <f>(G61-G47)/2.5</f>
        <v>0.4</v>
      </c>
      <c r="R73" s="13">
        <f>(G74-G61)/3</f>
        <v>0</v>
      </c>
      <c r="S73" s="13">
        <f t="shared" ref="S73:S78" si="29">(G85-G74)/3.5</f>
        <v>-2</v>
      </c>
      <c r="T73" s="13">
        <f t="shared" ref="T73:T78" si="30">(G96-G85)/4</f>
        <v>0</v>
      </c>
      <c r="U73" s="13">
        <f t="shared" ref="U73:U78" si="31">(G107-G96)/4.5</f>
        <v>0</v>
      </c>
      <c r="V73" s="13">
        <f t="shared" ref="V73:V78" si="32">(G120-G107)/5</f>
        <v>0</v>
      </c>
      <c r="W73" s="13">
        <f t="shared" ref="W73:W78" si="33">(G140-G130)/5.5</f>
        <v>0</v>
      </c>
      <c r="X73" s="13">
        <f t="shared" ref="X73:X78" si="34">(G140-G130)/6</f>
        <v>0</v>
      </c>
      <c r="Y73" s="13">
        <f t="shared" ref="Y73:Y78" si="35">SUM(N73:X73)</f>
        <v>12.233333333333333</v>
      </c>
    </row>
    <row r="74" spans="2:25">
      <c r="B74" s="5" t="s">
        <v>72</v>
      </c>
      <c r="C74">
        <v>15</v>
      </c>
      <c r="D74">
        <v>17</v>
      </c>
      <c r="E74">
        <v>18</v>
      </c>
      <c r="F74">
        <v>20</v>
      </c>
      <c r="G74">
        <v>18</v>
      </c>
      <c r="H74">
        <v>17</v>
      </c>
      <c r="I74">
        <v>17</v>
      </c>
      <c r="J74">
        <v>19</v>
      </c>
      <c r="K74">
        <v>18</v>
      </c>
      <c r="M74" s="5" t="s">
        <v>71</v>
      </c>
      <c r="N74" s="13">
        <f>(G19-G5)/1</f>
        <v>5</v>
      </c>
      <c r="O74" s="13">
        <f>(G34-G19)/1.5</f>
        <v>10</v>
      </c>
      <c r="P74" s="13">
        <f>(G48-G34)/2</f>
        <v>0</v>
      </c>
      <c r="Q74" s="13">
        <f>(G62-G48)/2.5</f>
        <v>0</v>
      </c>
      <c r="R74" s="13">
        <f>(G75-G62)/3</f>
        <v>0</v>
      </c>
      <c r="S74" s="13">
        <f t="shared" si="29"/>
        <v>-3.1428571428571428</v>
      </c>
      <c r="T74" s="13">
        <f t="shared" si="30"/>
        <v>0.25</v>
      </c>
      <c r="U74" s="13">
        <f t="shared" si="31"/>
        <v>0</v>
      </c>
      <c r="V74" s="13">
        <f t="shared" si="32"/>
        <v>0</v>
      </c>
      <c r="W74" s="13">
        <f t="shared" si="33"/>
        <v>0</v>
      </c>
      <c r="X74" s="13">
        <f t="shared" si="34"/>
        <v>0</v>
      </c>
      <c r="Y74" s="13">
        <f t="shared" si="35"/>
        <v>12.107142857142858</v>
      </c>
    </row>
    <row r="75" spans="2:25">
      <c r="B75" s="5" t="s">
        <v>71</v>
      </c>
      <c r="C75">
        <v>17</v>
      </c>
      <c r="D75">
        <v>19</v>
      </c>
      <c r="E75">
        <v>16</v>
      </c>
      <c r="F75">
        <v>20</v>
      </c>
      <c r="G75">
        <v>20</v>
      </c>
      <c r="H75">
        <v>17</v>
      </c>
      <c r="I75">
        <v>17</v>
      </c>
      <c r="J75">
        <v>18</v>
      </c>
      <c r="K75">
        <v>17</v>
      </c>
      <c r="M75" s="5" t="s">
        <v>70</v>
      </c>
      <c r="N75" s="13">
        <f>(G20-G6)/1</f>
        <v>6</v>
      </c>
      <c r="O75" s="13">
        <f>(G35-G20)/1.5</f>
        <v>6.666666666666667</v>
      </c>
      <c r="P75" s="13">
        <f>(G49-G35)/2</f>
        <v>1.5</v>
      </c>
      <c r="Q75" s="13">
        <f>(G63-G49)/2.5</f>
        <v>0</v>
      </c>
      <c r="R75" s="13">
        <f>(G76-G63)/3</f>
        <v>0</v>
      </c>
      <c r="S75" s="13">
        <f t="shared" si="29"/>
        <v>-2.8571428571428572</v>
      </c>
      <c r="T75" s="13">
        <f t="shared" si="30"/>
        <v>0.25</v>
      </c>
      <c r="U75" s="13">
        <f t="shared" si="31"/>
        <v>0</v>
      </c>
      <c r="V75" s="13">
        <f t="shared" si="32"/>
        <v>0</v>
      </c>
      <c r="W75" s="13">
        <f t="shared" si="33"/>
        <v>0</v>
      </c>
      <c r="X75" s="13">
        <f t="shared" si="34"/>
        <v>0</v>
      </c>
      <c r="Y75" s="13">
        <f t="shared" si="35"/>
        <v>11.55952380952381</v>
      </c>
    </row>
    <row r="76" spans="2:25">
      <c r="B76" s="5" t="s">
        <v>70</v>
      </c>
      <c r="C76">
        <v>18</v>
      </c>
      <c r="D76">
        <v>18</v>
      </c>
      <c r="E76">
        <v>19</v>
      </c>
      <c r="F76">
        <v>19</v>
      </c>
      <c r="G76">
        <v>19</v>
      </c>
      <c r="H76">
        <v>20</v>
      </c>
      <c r="I76">
        <v>18</v>
      </c>
      <c r="J76">
        <v>18</v>
      </c>
      <c r="K76">
        <v>16</v>
      </c>
      <c r="M76" s="5" t="s">
        <v>69</v>
      </c>
      <c r="N76" s="13">
        <f>(G21-G7)/1</f>
        <v>6</v>
      </c>
      <c r="O76" s="13">
        <f>(G36-G21)/1.5</f>
        <v>5.333333333333333</v>
      </c>
      <c r="P76" s="13">
        <f>(G50-G36)/2</f>
        <v>0</v>
      </c>
      <c r="Q76" s="13">
        <f>(G64-G50)/2.5</f>
        <v>0.4</v>
      </c>
      <c r="R76" s="13">
        <f>(G77-G64)/3</f>
        <v>0</v>
      </c>
      <c r="S76" s="13">
        <f t="shared" si="29"/>
        <v>-1.7142857142857142</v>
      </c>
      <c r="T76" s="13">
        <f t="shared" si="30"/>
        <v>0</v>
      </c>
      <c r="U76" s="13">
        <f t="shared" si="31"/>
        <v>0</v>
      </c>
      <c r="V76" s="13">
        <f t="shared" si="32"/>
        <v>0</v>
      </c>
      <c r="W76" s="13">
        <f t="shared" si="33"/>
        <v>0</v>
      </c>
      <c r="X76" s="13">
        <f t="shared" si="34"/>
        <v>0</v>
      </c>
      <c r="Y76" s="13">
        <f t="shared" si="35"/>
        <v>10.019047619047619</v>
      </c>
    </row>
    <row r="77" spans="2:25">
      <c r="B77" s="5" t="s">
        <v>69</v>
      </c>
      <c r="C77">
        <v>18</v>
      </c>
      <c r="D77">
        <v>17</v>
      </c>
      <c r="E77">
        <v>18</v>
      </c>
      <c r="F77">
        <v>19</v>
      </c>
      <c r="G77">
        <v>15</v>
      </c>
      <c r="H77">
        <v>15</v>
      </c>
      <c r="I77">
        <v>16</v>
      </c>
      <c r="J77">
        <v>18</v>
      </c>
      <c r="K77">
        <v>19</v>
      </c>
      <c r="M77" s="5" t="s">
        <v>68</v>
      </c>
      <c r="N77" s="13">
        <f>(G22-G8)/1</f>
        <v>9</v>
      </c>
      <c r="O77" s="13">
        <f>(G37-G22)/1.5</f>
        <v>6.666666666666667</v>
      </c>
      <c r="P77" s="13">
        <f>(G51-G37)/2</f>
        <v>0</v>
      </c>
      <c r="Q77" s="13">
        <f>(G65-G51)/2.5</f>
        <v>0.4</v>
      </c>
      <c r="R77" s="13">
        <f>(G78-G65)/3</f>
        <v>0</v>
      </c>
      <c r="S77" s="13">
        <f t="shared" si="29"/>
        <v>-2.8571428571428572</v>
      </c>
      <c r="T77" s="13">
        <f t="shared" si="30"/>
        <v>0</v>
      </c>
      <c r="U77" s="13">
        <f t="shared" si="31"/>
        <v>0</v>
      </c>
      <c r="V77" s="13">
        <f t="shared" si="32"/>
        <v>0</v>
      </c>
      <c r="W77" s="13">
        <f t="shared" si="33"/>
        <v>0</v>
      </c>
      <c r="X77" s="13">
        <f t="shared" si="34"/>
        <v>0</v>
      </c>
      <c r="Y77" s="13">
        <f t="shared" si="35"/>
        <v>13.209523809523809</v>
      </c>
    </row>
    <row r="78" spans="2:25">
      <c r="B78" s="5" t="s">
        <v>68</v>
      </c>
      <c r="C78">
        <v>18</v>
      </c>
      <c r="D78">
        <v>20</v>
      </c>
      <c r="E78">
        <v>19</v>
      </c>
      <c r="F78">
        <v>18</v>
      </c>
      <c r="G78">
        <v>20</v>
      </c>
      <c r="H78">
        <v>18</v>
      </c>
      <c r="I78">
        <v>19</v>
      </c>
      <c r="J78">
        <v>19</v>
      </c>
      <c r="K78">
        <v>19</v>
      </c>
      <c r="M78" s="5" t="s">
        <v>67</v>
      </c>
      <c r="N78" s="13">
        <f t="shared" ref="N78:N82" si="36">(G23-G9)/1</f>
        <v>2</v>
      </c>
      <c r="O78" s="13">
        <f>(G38-G23)/1.5</f>
        <v>8.6666666666666661</v>
      </c>
      <c r="P78" s="13">
        <f>(G52-G38)/2</f>
        <v>0.5</v>
      </c>
      <c r="Q78" s="13">
        <f>(G66-G52)/2.5</f>
        <v>0</v>
      </c>
      <c r="R78" s="13">
        <f>(G79-G66)/3</f>
        <v>-5.333333333333333</v>
      </c>
      <c r="S78" s="13">
        <f t="shared" si="29"/>
        <v>2.5714285714285716</v>
      </c>
      <c r="T78" s="13">
        <f t="shared" si="30"/>
        <v>0</v>
      </c>
      <c r="U78" s="13">
        <f t="shared" si="31"/>
        <v>0.22222222222222221</v>
      </c>
      <c r="V78" s="13">
        <f t="shared" si="32"/>
        <v>0</v>
      </c>
      <c r="W78" s="13">
        <f t="shared" si="33"/>
        <v>0</v>
      </c>
      <c r="X78" s="13">
        <f t="shared" si="34"/>
        <v>0</v>
      </c>
      <c r="Y78" s="13">
        <f t="shared" si="35"/>
        <v>8.6269841269841265</v>
      </c>
    </row>
    <row r="79" spans="2:25">
      <c r="B79" s="5" t="s">
        <v>67</v>
      </c>
      <c r="C79"/>
      <c r="D79"/>
      <c r="E79"/>
      <c r="F79"/>
      <c r="G79"/>
      <c r="H79"/>
      <c r="I79"/>
      <c r="J79"/>
      <c r="K79"/>
      <c r="M79" s="5" t="s">
        <v>108</v>
      </c>
      <c r="N79" s="13">
        <f t="shared" si="36"/>
        <v>5</v>
      </c>
      <c r="O79" s="13"/>
      <c r="X79" s="5" t="s">
        <v>66</v>
      </c>
      <c r="Y79" s="12">
        <f>AVERAGE(Y73:Y78)</f>
        <v>11.292592592592593</v>
      </c>
    </row>
    <row r="80" spans="2:25">
      <c r="B80" s="5" t="s">
        <v>108</v>
      </c>
      <c r="C80">
        <v>16</v>
      </c>
      <c r="D80">
        <v>18</v>
      </c>
      <c r="E80">
        <v>16</v>
      </c>
      <c r="F80">
        <v>16</v>
      </c>
      <c r="G80">
        <v>18</v>
      </c>
      <c r="H80">
        <v>19</v>
      </c>
      <c r="I80">
        <v>16</v>
      </c>
      <c r="J80">
        <v>18</v>
      </c>
      <c r="K80">
        <v>19</v>
      </c>
      <c r="M80" s="5" t="s">
        <v>109</v>
      </c>
      <c r="N80" s="13">
        <f t="shared" si="36"/>
        <v>8</v>
      </c>
      <c r="O80" s="13"/>
      <c r="X80" s="5" t="s">
        <v>65</v>
      </c>
      <c r="Y80" s="12">
        <f>STDEV(Y73:Y78)</f>
        <v>1.6746192481487274</v>
      </c>
    </row>
    <row r="81" spans="2:25">
      <c r="B81" s="5" t="s">
        <v>109</v>
      </c>
      <c r="C81">
        <v>19</v>
      </c>
      <c r="D81">
        <v>16</v>
      </c>
      <c r="E81">
        <v>19</v>
      </c>
      <c r="F81">
        <v>20</v>
      </c>
      <c r="G81">
        <v>19</v>
      </c>
      <c r="H81">
        <v>18</v>
      </c>
      <c r="I81">
        <v>17</v>
      </c>
      <c r="J81">
        <v>18</v>
      </c>
      <c r="K81">
        <v>20</v>
      </c>
      <c r="M81" s="5" t="s">
        <v>110</v>
      </c>
      <c r="N81" s="13">
        <f t="shared" si="36"/>
        <v>4</v>
      </c>
      <c r="O81" s="13"/>
      <c r="X81" s="5" t="s">
        <v>64</v>
      </c>
      <c r="Y81" s="12">
        <f>CONFIDENCE(0.5,Y80,6)</f>
        <v>0.46112196292522573</v>
      </c>
    </row>
    <row r="82" spans="2:25">
      <c r="B82" s="5" t="s">
        <v>110</v>
      </c>
      <c r="C82">
        <v>17</v>
      </c>
      <c r="D82">
        <v>18</v>
      </c>
      <c r="E82">
        <v>18</v>
      </c>
      <c r="F82">
        <v>17</v>
      </c>
      <c r="G82">
        <v>17</v>
      </c>
      <c r="H82">
        <v>18</v>
      </c>
      <c r="I82">
        <v>16</v>
      </c>
      <c r="J82">
        <v>16</v>
      </c>
      <c r="K82">
        <v>16</v>
      </c>
      <c r="M82" s="5" t="s">
        <v>111</v>
      </c>
      <c r="N82" s="13">
        <f>(G27-G13)/1</f>
        <v>6</v>
      </c>
    </row>
    <row r="83" spans="2:25">
      <c r="B83" s="5" t="s">
        <v>111</v>
      </c>
      <c r="C83">
        <v>17</v>
      </c>
      <c r="D83">
        <v>19</v>
      </c>
      <c r="E83">
        <v>18</v>
      </c>
      <c r="F83">
        <v>17</v>
      </c>
      <c r="G83">
        <v>19</v>
      </c>
      <c r="H83">
        <v>19</v>
      </c>
      <c r="I83">
        <v>20</v>
      </c>
      <c r="J83">
        <v>18</v>
      </c>
      <c r="K83">
        <v>15</v>
      </c>
    </row>
    <row r="84" spans="2:25">
      <c r="C84" s="5" t="s">
        <v>48</v>
      </c>
      <c r="D84" s="5" t="s">
        <v>47</v>
      </c>
      <c r="E84" s="5" t="s">
        <v>46</v>
      </c>
      <c r="F84" s="5" t="s">
        <v>45</v>
      </c>
      <c r="G84" s="5" t="s">
        <v>44</v>
      </c>
    </row>
    <row r="85" spans="2:25">
      <c r="B85" s="5">
        <v>1</v>
      </c>
      <c r="C85" s="5">
        <v>9</v>
      </c>
      <c r="D85" s="5">
        <v>10</v>
      </c>
      <c r="E85" s="5">
        <v>10</v>
      </c>
      <c r="F85" s="5">
        <v>11</v>
      </c>
      <c r="G85" s="5">
        <v>11</v>
      </c>
    </row>
    <row r="86" spans="2:25">
      <c r="B86" s="5">
        <v>2</v>
      </c>
      <c r="C86" s="5">
        <v>10</v>
      </c>
      <c r="D86" s="5">
        <v>11</v>
      </c>
      <c r="E86" s="5">
        <v>9</v>
      </c>
      <c r="F86" s="5">
        <v>10</v>
      </c>
      <c r="G86" s="5">
        <v>9</v>
      </c>
    </row>
    <row r="87" spans="2:25">
      <c r="B87" s="5">
        <v>3</v>
      </c>
      <c r="C87" s="5">
        <v>11</v>
      </c>
      <c r="D87" s="5">
        <v>12</v>
      </c>
      <c r="E87" s="5">
        <v>10</v>
      </c>
      <c r="F87" s="5">
        <v>9</v>
      </c>
      <c r="G87" s="5">
        <v>9</v>
      </c>
    </row>
    <row r="88" spans="2:25">
      <c r="B88" s="5">
        <v>4</v>
      </c>
      <c r="C88" s="5">
        <v>11</v>
      </c>
      <c r="D88" s="5">
        <v>10</v>
      </c>
      <c r="E88" s="5">
        <v>10</v>
      </c>
      <c r="F88" s="5">
        <v>11</v>
      </c>
      <c r="G88" s="5">
        <v>9</v>
      </c>
    </row>
    <row r="89" spans="2:25">
      <c r="B89" s="5">
        <v>5</v>
      </c>
      <c r="C89" s="5">
        <v>10</v>
      </c>
      <c r="D89" s="5">
        <v>10</v>
      </c>
      <c r="E89" s="5">
        <v>10</v>
      </c>
      <c r="F89" s="5">
        <v>11</v>
      </c>
      <c r="G89" s="5">
        <v>10</v>
      </c>
    </row>
    <row r="90" spans="2:25">
      <c r="B90" s="5">
        <v>6</v>
      </c>
      <c r="C90" s="5">
        <v>10</v>
      </c>
      <c r="D90" s="5">
        <v>11</v>
      </c>
      <c r="E90" s="5">
        <v>11</v>
      </c>
      <c r="F90" s="5">
        <v>11</v>
      </c>
      <c r="G90" s="5">
        <v>9</v>
      </c>
    </row>
    <row r="91" spans="2:25">
      <c r="B91" s="5" t="s">
        <v>50</v>
      </c>
      <c r="C91" s="8">
        <f>AVERAGE(C85:C90)</f>
        <v>10.166666666666666</v>
      </c>
      <c r="D91" s="8">
        <f>AVERAGE(D85:D90)</f>
        <v>10.666666666666666</v>
      </c>
      <c r="E91" s="8">
        <f>AVERAGE(E85:E90)</f>
        <v>10</v>
      </c>
      <c r="F91" s="8">
        <f>AVERAGE(F85:F90)</f>
        <v>10.5</v>
      </c>
      <c r="G91" s="8">
        <f>AVERAGE(G85:G90)</f>
        <v>9.5</v>
      </c>
    </row>
    <row r="94" spans="2:25">
      <c r="C94" s="5" t="s">
        <v>56</v>
      </c>
    </row>
    <row r="95" spans="2:25">
      <c r="C95" s="5" t="s">
        <v>53</v>
      </c>
      <c r="D95" s="5" t="s">
        <v>47</v>
      </c>
      <c r="E95" s="5" t="s">
        <v>46</v>
      </c>
      <c r="F95" s="5" t="s">
        <v>45</v>
      </c>
      <c r="G95" s="5" t="s">
        <v>44</v>
      </c>
    </row>
    <row r="96" spans="2:25">
      <c r="B96" s="5">
        <v>1</v>
      </c>
      <c r="C96" s="5">
        <v>9</v>
      </c>
      <c r="D96" s="5">
        <v>10</v>
      </c>
      <c r="E96" s="5">
        <v>11</v>
      </c>
      <c r="F96" s="5">
        <v>11</v>
      </c>
      <c r="G96" s="5">
        <v>11</v>
      </c>
    </row>
    <row r="97" spans="2:7">
      <c r="B97" s="5">
        <v>2</v>
      </c>
      <c r="C97" s="5">
        <v>10</v>
      </c>
      <c r="D97" s="5">
        <v>11</v>
      </c>
      <c r="E97" s="5">
        <v>9</v>
      </c>
      <c r="F97" s="5">
        <v>10</v>
      </c>
      <c r="G97" s="5">
        <v>10</v>
      </c>
    </row>
    <row r="98" spans="2:7">
      <c r="B98" s="5">
        <v>3</v>
      </c>
      <c r="C98" s="5">
        <v>12</v>
      </c>
      <c r="D98" s="5">
        <v>12</v>
      </c>
      <c r="E98" s="5">
        <v>10</v>
      </c>
      <c r="F98" s="5">
        <v>9</v>
      </c>
      <c r="G98" s="5">
        <v>10</v>
      </c>
    </row>
    <row r="99" spans="2:7">
      <c r="B99" s="5">
        <v>4</v>
      </c>
      <c r="C99" s="5">
        <v>11</v>
      </c>
      <c r="D99" s="5">
        <v>10</v>
      </c>
      <c r="E99" s="5">
        <v>10</v>
      </c>
      <c r="F99" s="5">
        <v>11</v>
      </c>
      <c r="G99" s="5">
        <v>9</v>
      </c>
    </row>
    <row r="100" spans="2:7">
      <c r="B100" s="5">
        <v>5</v>
      </c>
      <c r="C100" s="5">
        <v>11</v>
      </c>
      <c r="D100" s="5">
        <v>10</v>
      </c>
      <c r="E100" s="5">
        <v>11</v>
      </c>
      <c r="F100" s="5">
        <v>11</v>
      </c>
      <c r="G100" s="5">
        <v>10</v>
      </c>
    </row>
    <row r="101" spans="2:7">
      <c r="B101" s="5">
        <v>6</v>
      </c>
      <c r="C101" s="5">
        <v>11</v>
      </c>
      <c r="D101" s="5">
        <v>11</v>
      </c>
      <c r="E101" s="5">
        <v>11</v>
      </c>
      <c r="F101" s="5">
        <v>11</v>
      </c>
      <c r="G101" s="5">
        <v>9</v>
      </c>
    </row>
    <row r="102" spans="2:7">
      <c r="B102" s="5" t="s">
        <v>50</v>
      </c>
      <c r="C102" s="8">
        <f>AVERAGE(C96:C101)</f>
        <v>10.666666666666666</v>
      </c>
      <c r="D102" s="8">
        <f>AVERAGE(D96:D101)</f>
        <v>10.666666666666666</v>
      </c>
      <c r="E102" s="8">
        <f>AVERAGE(E96:E101)</f>
        <v>10.333333333333334</v>
      </c>
      <c r="F102" s="8">
        <f>AVERAGE(F96:F101)</f>
        <v>10.5</v>
      </c>
      <c r="G102" s="8">
        <f>AVERAGE(G96:G101)</f>
        <v>9.8333333333333339</v>
      </c>
    </row>
    <row r="103" spans="2:7">
      <c r="B103" s="5" t="s">
        <v>42</v>
      </c>
      <c r="C103" s="6">
        <f>STDEV(C96:C101)</f>
        <v>1.0327955589886482</v>
      </c>
      <c r="D103" s="6">
        <f>STDEV(D96:D101)</f>
        <v>0.8164965809277307</v>
      </c>
      <c r="E103" s="6">
        <f>STDEV(E96:E101)</f>
        <v>0.8164965809277307</v>
      </c>
      <c r="F103" s="6">
        <f>STDEV(F96:F101)</f>
        <v>0.83666002653407556</v>
      </c>
      <c r="G103" s="6">
        <f>STDEV(G96:G101)</f>
        <v>0.752772652709086</v>
      </c>
    </row>
    <row r="104" spans="2:7">
      <c r="B104" s="5" t="s">
        <v>55</v>
      </c>
      <c r="C104" s="6">
        <f>CONFIDENCE(0.5,C103,6)</f>
        <v>0.28438984920768368</v>
      </c>
      <c r="D104" s="6">
        <f>CONFIDENCE(0.5,D103,6)</f>
        <v>0.22482991673202848</v>
      </c>
      <c r="E104" s="6">
        <f>CONFIDENCE(0.5,E103,6)</f>
        <v>0.22482991673202848</v>
      </c>
      <c r="F104" s="6">
        <f>CONFIDENCE(0.5,F103,6)</f>
        <v>0.23038210874678791</v>
      </c>
      <c r="G104" s="6">
        <f>CONFIDENCE(0.5,G103,6)</f>
        <v>0.20728294126403968</v>
      </c>
    </row>
    <row r="105" spans="2:7">
      <c r="C105" s="5" t="s">
        <v>54</v>
      </c>
    </row>
    <row r="106" spans="2:7">
      <c r="C106" s="5" t="s">
        <v>53</v>
      </c>
      <c r="D106" s="5" t="s">
        <v>47</v>
      </c>
      <c r="E106" s="5" t="s">
        <v>46</v>
      </c>
      <c r="F106" s="5" t="s">
        <v>45</v>
      </c>
      <c r="G106" s="5" t="s">
        <v>44</v>
      </c>
    </row>
    <row r="107" spans="2:7">
      <c r="B107" s="5">
        <v>1</v>
      </c>
      <c r="C107" s="5">
        <v>9</v>
      </c>
      <c r="D107" s="5">
        <v>10</v>
      </c>
      <c r="E107" s="5">
        <v>11</v>
      </c>
      <c r="F107" s="5">
        <v>11</v>
      </c>
      <c r="G107" s="5">
        <v>11</v>
      </c>
    </row>
    <row r="108" spans="2:7">
      <c r="B108" s="5">
        <v>2</v>
      </c>
      <c r="C108" s="5">
        <v>10</v>
      </c>
      <c r="D108" s="5">
        <v>11</v>
      </c>
      <c r="E108" s="5">
        <v>9</v>
      </c>
      <c r="F108" s="5">
        <v>11</v>
      </c>
      <c r="G108" s="5">
        <v>10</v>
      </c>
    </row>
    <row r="109" spans="2:7">
      <c r="B109" s="5">
        <v>3</v>
      </c>
      <c r="C109" s="5">
        <v>12</v>
      </c>
      <c r="D109" s="5">
        <v>12</v>
      </c>
      <c r="E109" s="5">
        <v>10</v>
      </c>
      <c r="F109" s="5">
        <v>9</v>
      </c>
      <c r="G109" s="5">
        <v>10</v>
      </c>
    </row>
    <row r="110" spans="2:7">
      <c r="B110" s="5">
        <v>4</v>
      </c>
      <c r="C110" s="5">
        <v>11</v>
      </c>
      <c r="D110" s="5">
        <v>10</v>
      </c>
      <c r="E110" s="5">
        <v>10</v>
      </c>
      <c r="F110" s="5">
        <v>11</v>
      </c>
      <c r="G110" s="5">
        <v>9</v>
      </c>
    </row>
    <row r="111" spans="2:7">
      <c r="B111" s="5">
        <v>5</v>
      </c>
      <c r="C111" s="5">
        <v>11</v>
      </c>
      <c r="D111" s="5">
        <v>10</v>
      </c>
      <c r="E111" s="5">
        <v>11</v>
      </c>
      <c r="F111" s="5">
        <v>11</v>
      </c>
      <c r="G111" s="5">
        <v>10</v>
      </c>
    </row>
    <row r="112" spans="2:7">
      <c r="B112" s="5">
        <v>6</v>
      </c>
      <c r="C112" s="5">
        <v>11</v>
      </c>
      <c r="D112" s="5">
        <v>11</v>
      </c>
      <c r="E112" s="5">
        <v>11</v>
      </c>
      <c r="F112" s="5">
        <v>11</v>
      </c>
      <c r="G112" s="5">
        <v>10</v>
      </c>
    </row>
    <row r="113" spans="2:7">
      <c r="B113" s="5" t="s">
        <v>43</v>
      </c>
      <c r="C113" s="8">
        <f>AVERAGE(C107:C112)</f>
        <v>10.666666666666666</v>
      </c>
      <c r="D113" s="8">
        <f>AVERAGE(D107:D112)</f>
        <v>10.666666666666666</v>
      </c>
      <c r="E113" s="8">
        <f>AVERAGE(E107:E112)</f>
        <v>10.333333333333334</v>
      </c>
      <c r="F113" s="8">
        <f>AVERAGE(F107:F112)</f>
        <v>10.666666666666666</v>
      </c>
      <c r="G113" s="8">
        <f>AVERAGE(G107:G112)</f>
        <v>10</v>
      </c>
    </row>
    <row r="118" spans="2:7">
      <c r="C118" s="5" t="s">
        <v>52</v>
      </c>
    </row>
    <row r="119" spans="2:7">
      <c r="C119" s="5" t="s">
        <v>48</v>
      </c>
      <c r="D119" s="5" t="s">
        <v>47</v>
      </c>
      <c r="E119" s="5" t="s">
        <v>46</v>
      </c>
      <c r="F119" s="5" t="s">
        <v>45</v>
      </c>
      <c r="G119" s="5" t="s">
        <v>44</v>
      </c>
    </row>
    <row r="120" spans="2:7">
      <c r="B120" s="5">
        <v>1</v>
      </c>
      <c r="C120" s="5">
        <v>9</v>
      </c>
      <c r="D120" s="5">
        <v>10</v>
      </c>
      <c r="E120" s="5">
        <v>11</v>
      </c>
      <c r="F120" s="5">
        <v>11</v>
      </c>
      <c r="G120" s="5">
        <v>11</v>
      </c>
    </row>
    <row r="121" spans="2:7">
      <c r="B121" s="5">
        <v>2</v>
      </c>
      <c r="C121" s="5">
        <v>10</v>
      </c>
      <c r="D121" s="5">
        <v>11</v>
      </c>
      <c r="E121" s="5">
        <v>9</v>
      </c>
      <c r="F121" s="5">
        <v>11</v>
      </c>
      <c r="G121" s="5">
        <v>10</v>
      </c>
    </row>
    <row r="122" spans="2:7">
      <c r="B122" s="5">
        <v>3</v>
      </c>
      <c r="C122" s="5">
        <v>12</v>
      </c>
      <c r="D122" s="5">
        <v>12</v>
      </c>
      <c r="E122" s="5">
        <v>10</v>
      </c>
      <c r="F122" s="5">
        <v>9</v>
      </c>
      <c r="G122" s="5">
        <v>10</v>
      </c>
    </row>
    <row r="123" spans="2:7">
      <c r="B123" s="5">
        <v>4</v>
      </c>
      <c r="C123" s="5">
        <v>11</v>
      </c>
      <c r="D123" s="5">
        <v>10</v>
      </c>
      <c r="E123" s="5">
        <v>10</v>
      </c>
      <c r="F123" s="5">
        <v>11</v>
      </c>
      <c r="G123" s="5">
        <v>9</v>
      </c>
    </row>
    <row r="124" spans="2:7">
      <c r="B124" s="5">
        <v>5</v>
      </c>
      <c r="C124" s="5">
        <v>11</v>
      </c>
      <c r="D124" s="5">
        <v>10</v>
      </c>
      <c r="E124" s="5">
        <v>11</v>
      </c>
      <c r="F124" s="5">
        <v>11</v>
      </c>
      <c r="G124" s="5">
        <v>10</v>
      </c>
    </row>
    <row r="125" spans="2:7">
      <c r="B125" s="5">
        <v>6</v>
      </c>
      <c r="C125" s="5">
        <v>11</v>
      </c>
      <c r="D125" s="5">
        <v>11</v>
      </c>
      <c r="E125" s="5">
        <v>11</v>
      </c>
      <c r="F125" s="5">
        <v>11</v>
      </c>
      <c r="G125" s="5">
        <v>10</v>
      </c>
    </row>
    <row r="126" spans="2:7">
      <c r="B126" s="5" t="s">
        <v>50</v>
      </c>
      <c r="C126" s="8">
        <f>AVERAGE(C120:C125)</f>
        <v>10.666666666666666</v>
      </c>
      <c r="D126" s="8">
        <f>AVERAGE(D120:D125)</f>
        <v>10.666666666666666</v>
      </c>
      <c r="E126" s="8">
        <f>AVERAGE(E120:E125)</f>
        <v>10.333333333333334</v>
      </c>
      <c r="F126" s="8">
        <f>AVERAGE(F120:F125)</f>
        <v>10.666666666666666</v>
      </c>
      <c r="G126" s="8">
        <f>AVERAGE(G120:G125)</f>
        <v>10</v>
      </c>
    </row>
    <row r="128" spans="2:7">
      <c r="C128" s="5" t="s">
        <v>51</v>
      </c>
    </row>
    <row r="129" spans="2:7">
      <c r="C129" s="5" t="s">
        <v>48</v>
      </c>
      <c r="D129" s="5" t="s">
        <v>47</v>
      </c>
      <c r="E129" s="5" t="s">
        <v>46</v>
      </c>
      <c r="F129" s="5" t="s">
        <v>45</v>
      </c>
      <c r="G129" s="5" t="s">
        <v>44</v>
      </c>
    </row>
    <row r="130" spans="2:7">
      <c r="B130" s="5">
        <v>1</v>
      </c>
      <c r="C130" s="5">
        <v>9</v>
      </c>
      <c r="D130" s="5">
        <v>10</v>
      </c>
      <c r="E130" s="5">
        <v>11</v>
      </c>
      <c r="F130" s="5">
        <v>11</v>
      </c>
      <c r="G130" s="5">
        <v>11</v>
      </c>
    </row>
    <row r="131" spans="2:7">
      <c r="B131" s="5">
        <v>2</v>
      </c>
      <c r="C131" s="5">
        <v>10</v>
      </c>
      <c r="D131" s="5">
        <v>11</v>
      </c>
      <c r="E131" s="5">
        <v>9</v>
      </c>
      <c r="F131" s="5">
        <v>9</v>
      </c>
      <c r="G131" s="5">
        <v>10</v>
      </c>
    </row>
    <row r="132" spans="2:7">
      <c r="B132" s="5">
        <v>3</v>
      </c>
      <c r="C132" s="5">
        <v>12</v>
      </c>
      <c r="D132" s="5">
        <v>12</v>
      </c>
      <c r="E132" s="5">
        <v>10</v>
      </c>
      <c r="F132" s="5">
        <v>10</v>
      </c>
      <c r="G132" s="5">
        <v>10</v>
      </c>
    </row>
    <row r="133" spans="2:7">
      <c r="B133" s="5">
        <v>4</v>
      </c>
      <c r="C133" s="5">
        <v>11</v>
      </c>
      <c r="D133" s="5">
        <v>10</v>
      </c>
      <c r="E133" s="5">
        <v>10</v>
      </c>
      <c r="F133" s="5">
        <v>11</v>
      </c>
      <c r="G133" s="5">
        <v>9</v>
      </c>
    </row>
    <row r="134" spans="2:7">
      <c r="B134" s="5">
        <v>5</v>
      </c>
      <c r="C134" s="5">
        <v>11</v>
      </c>
      <c r="D134" s="5">
        <v>10</v>
      </c>
      <c r="E134" s="5">
        <v>11</v>
      </c>
      <c r="F134" s="5">
        <v>11</v>
      </c>
      <c r="G134" s="5">
        <v>10</v>
      </c>
    </row>
    <row r="135" spans="2:7">
      <c r="B135" s="5">
        <v>6</v>
      </c>
      <c r="C135" s="5">
        <v>11</v>
      </c>
      <c r="D135" s="5">
        <v>11</v>
      </c>
      <c r="E135" s="5">
        <v>11</v>
      </c>
      <c r="F135" s="5">
        <v>11</v>
      </c>
      <c r="G135" s="5">
        <v>10</v>
      </c>
    </row>
    <row r="136" spans="2:7">
      <c r="B136" s="5" t="s">
        <v>50</v>
      </c>
      <c r="C136" s="8">
        <f>AVERAGE(C130:C135)</f>
        <v>10.666666666666666</v>
      </c>
      <c r="D136" s="8">
        <f>AVERAGE(D130:D135)</f>
        <v>10.666666666666666</v>
      </c>
      <c r="E136" s="8">
        <f>AVERAGE(E130:E135)</f>
        <v>10.333333333333334</v>
      </c>
      <c r="F136" s="8">
        <f>AVERAGE(F130:F135)</f>
        <v>10.5</v>
      </c>
      <c r="G136" s="5">
        <f>AVERAGE(G130:G135)</f>
        <v>10</v>
      </c>
    </row>
    <row r="138" spans="2:7">
      <c r="C138" s="5" t="s">
        <v>49</v>
      </c>
    </row>
    <row r="139" spans="2:7">
      <c r="C139" s="5" t="s">
        <v>48</v>
      </c>
      <c r="D139" s="5" t="s">
        <v>47</v>
      </c>
      <c r="E139" s="5" t="s">
        <v>46</v>
      </c>
      <c r="F139" s="5" t="s">
        <v>45</v>
      </c>
      <c r="G139" s="5" t="s">
        <v>44</v>
      </c>
    </row>
    <row r="140" spans="2:7">
      <c r="B140" s="5">
        <v>1</v>
      </c>
      <c r="C140" s="5">
        <v>9</v>
      </c>
      <c r="D140" s="5">
        <v>10</v>
      </c>
      <c r="E140" s="5">
        <v>11</v>
      </c>
      <c r="F140" s="5">
        <v>11</v>
      </c>
      <c r="G140" s="5">
        <v>11</v>
      </c>
    </row>
    <row r="141" spans="2:7">
      <c r="B141" s="5">
        <v>2</v>
      </c>
      <c r="C141" s="5">
        <v>10</v>
      </c>
      <c r="D141" s="5">
        <v>11</v>
      </c>
      <c r="E141" s="5">
        <v>9</v>
      </c>
      <c r="F141" s="5">
        <v>11</v>
      </c>
      <c r="G141" s="5">
        <v>10</v>
      </c>
    </row>
    <row r="142" spans="2:7">
      <c r="B142" s="5">
        <v>3</v>
      </c>
      <c r="C142" s="5">
        <v>12</v>
      </c>
      <c r="D142" s="5">
        <v>12</v>
      </c>
      <c r="E142" s="5">
        <v>10</v>
      </c>
      <c r="F142" s="5">
        <v>10</v>
      </c>
      <c r="G142" s="5">
        <v>10</v>
      </c>
    </row>
    <row r="143" spans="2:7">
      <c r="B143" s="5">
        <v>4</v>
      </c>
      <c r="C143" s="5">
        <v>11</v>
      </c>
      <c r="D143" s="5">
        <v>10</v>
      </c>
      <c r="E143" s="5">
        <v>10</v>
      </c>
      <c r="F143" s="5">
        <v>11</v>
      </c>
      <c r="G143" s="5">
        <v>9</v>
      </c>
    </row>
    <row r="144" spans="2:7">
      <c r="B144" s="5">
        <v>5</v>
      </c>
      <c r="C144" s="5">
        <v>11</v>
      </c>
      <c r="D144" s="5">
        <v>10</v>
      </c>
      <c r="E144" s="5">
        <v>11</v>
      </c>
      <c r="F144" s="5">
        <v>11</v>
      </c>
      <c r="G144" s="5">
        <v>10</v>
      </c>
    </row>
    <row r="145" spans="2:7">
      <c r="B145" s="5">
        <v>6</v>
      </c>
      <c r="C145" s="5">
        <v>11</v>
      </c>
      <c r="D145" s="5">
        <v>11</v>
      </c>
      <c r="E145" s="5">
        <v>11</v>
      </c>
      <c r="F145" s="5">
        <v>11</v>
      </c>
      <c r="G145" s="5">
        <v>10</v>
      </c>
    </row>
    <row r="146" spans="2:7">
      <c r="B146" s="5" t="s">
        <v>43</v>
      </c>
      <c r="C146" s="8">
        <f>AVERAGE(C140:C145)</f>
        <v>10.666666666666666</v>
      </c>
      <c r="D146" s="8">
        <f>AVERAGE(D140:D145)</f>
        <v>10.666666666666666</v>
      </c>
      <c r="E146" s="8">
        <f>AVERAGE(E140:E145)</f>
        <v>10.333333333333334</v>
      </c>
      <c r="F146" s="8">
        <f>AVERAGE(F140:F145)</f>
        <v>10.833333333333334</v>
      </c>
      <c r="G146" s="8">
        <f>AVERAGE(G140:G145)</f>
        <v>10</v>
      </c>
    </row>
    <row r="147" spans="2:7">
      <c r="B147" s="5" t="s">
        <v>42</v>
      </c>
      <c r="C147" s="6">
        <f>STDEV(C140:C145)</f>
        <v>1.0327955589886482</v>
      </c>
      <c r="D147" s="6">
        <f>STDEV(D140:D145)</f>
        <v>0.8164965809277307</v>
      </c>
      <c r="E147" s="6">
        <f>STDEV(E140:E145)</f>
        <v>0.8164965809277307</v>
      </c>
      <c r="F147" s="6">
        <f>STDEV(F140:F145)</f>
        <v>0.40824829046387229</v>
      </c>
      <c r="G147" s="6">
        <f>STDEV(G140:G145)</f>
        <v>0.63245553203367588</v>
      </c>
    </row>
    <row r="148" spans="2:7">
      <c r="B148" s="5" t="s">
        <v>41</v>
      </c>
      <c r="C148" s="6">
        <f>CONFIDENCE(0.5,C147,6)</f>
        <v>0.28438984920768368</v>
      </c>
      <c r="D148" s="6">
        <f>CONFIDENCE(0.5,D147,6)</f>
        <v>0.22482991673202848</v>
      </c>
      <c r="E148" s="6">
        <f>CONFIDENCE(0.5,E147,6)</f>
        <v>0.22482991673202848</v>
      </c>
      <c r="F148" s="6">
        <f>CONFIDENCE(0.5,F147,6)</f>
        <v>0.11241495836601616</v>
      </c>
      <c r="G148" s="6">
        <f>CONFIDENCE(0.5,G147,6)</f>
        <v>0.17415250464646834</v>
      </c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2:AH139"/>
  <sheetViews>
    <sheetView topLeftCell="X19" workbookViewId="0">
      <selection activeCell="AG34" sqref="AG34"/>
    </sheetView>
  </sheetViews>
  <sheetFormatPr baseColWidth="10" defaultColWidth="9.140625" defaultRowHeight="15"/>
  <cols>
    <col min="1" max="21" width="9.140625" style="5"/>
    <col min="22" max="22" width="10" style="5" customWidth="1"/>
    <col min="23" max="23" width="14.85546875" style="5" customWidth="1"/>
    <col min="24" max="16384" width="9.140625" style="5"/>
  </cols>
  <sheetData>
    <row r="2" spans="2:29">
      <c r="C2" s="5" t="s">
        <v>82</v>
      </c>
    </row>
    <row r="3" spans="2:29">
      <c r="C3" s="5" t="s">
        <v>18</v>
      </c>
      <c r="D3" s="5" t="s">
        <v>19</v>
      </c>
      <c r="E3" s="5" t="s">
        <v>20</v>
      </c>
      <c r="F3" s="5" t="s">
        <v>21</v>
      </c>
      <c r="G3" s="5" t="s">
        <v>22</v>
      </c>
    </row>
    <row r="4" spans="2:29">
      <c r="C4" s="5">
        <v>0</v>
      </c>
      <c r="D4" s="5">
        <v>0</v>
      </c>
      <c r="E4" s="5">
        <v>0</v>
      </c>
      <c r="F4" s="5">
        <v>0</v>
      </c>
      <c r="G4" s="5">
        <v>0</v>
      </c>
    </row>
    <row r="5" spans="2:29">
      <c r="C5" s="5">
        <v>0</v>
      </c>
      <c r="D5" s="5">
        <v>0</v>
      </c>
      <c r="E5" s="5">
        <v>0</v>
      </c>
      <c r="F5" s="5">
        <v>0</v>
      </c>
      <c r="G5" s="5">
        <v>0</v>
      </c>
    </row>
    <row r="6" spans="2:29">
      <c r="C6" s="5">
        <v>0</v>
      </c>
      <c r="D6" s="5">
        <v>0</v>
      </c>
      <c r="E6" s="5">
        <v>0</v>
      </c>
      <c r="F6" s="5">
        <v>0</v>
      </c>
      <c r="G6" s="5">
        <v>0</v>
      </c>
    </row>
    <row r="7" spans="2:29">
      <c r="C7" s="5">
        <v>0</v>
      </c>
      <c r="D7" s="5">
        <v>0</v>
      </c>
      <c r="E7" s="5">
        <v>0</v>
      </c>
      <c r="F7" s="5">
        <v>0</v>
      </c>
      <c r="G7" s="5">
        <v>0</v>
      </c>
    </row>
    <row r="8" spans="2:29">
      <c r="C8" s="5">
        <v>0</v>
      </c>
      <c r="D8" s="5">
        <v>0</v>
      </c>
      <c r="E8" s="5">
        <v>0</v>
      </c>
      <c r="F8" s="5">
        <v>0</v>
      </c>
      <c r="G8" s="5">
        <v>0</v>
      </c>
      <c r="Y8" s="5" t="s">
        <v>96</v>
      </c>
    </row>
    <row r="9" spans="2:29">
      <c r="C9" s="5">
        <v>0</v>
      </c>
      <c r="D9" s="5">
        <v>0</v>
      </c>
      <c r="E9" s="5">
        <v>0</v>
      </c>
      <c r="F9" s="5">
        <v>0</v>
      </c>
      <c r="G9" s="5">
        <v>0</v>
      </c>
    </row>
    <row r="10" spans="2:29">
      <c r="C10" s="5">
        <v>0</v>
      </c>
      <c r="D10" s="5">
        <v>0</v>
      </c>
      <c r="E10" s="5">
        <v>0</v>
      </c>
      <c r="F10" s="5">
        <v>0</v>
      </c>
      <c r="G10" s="5">
        <v>0</v>
      </c>
      <c r="Y10" s="11" t="s">
        <v>77</v>
      </c>
      <c r="Z10" s="10" t="s">
        <v>76</v>
      </c>
      <c r="AA10" s="10" t="s">
        <v>75</v>
      </c>
      <c r="AB10" s="10" t="s">
        <v>74</v>
      </c>
      <c r="AC10" s="10" t="s">
        <v>73</v>
      </c>
    </row>
    <row r="11" spans="2:29">
      <c r="C11" s="5">
        <v>0</v>
      </c>
      <c r="D11" s="5">
        <v>0</v>
      </c>
      <c r="E11" s="5">
        <v>0</v>
      </c>
      <c r="F11" s="5">
        <v>0</v>
      </c>
      <c r="G11" s="5">
        <v>0</v>
      </c>
      <c r="X11" s="5" t="s">
        <v>43</v>
      </c>
      <c r="Y11" s="5">
        <v>1.6931818181818181</v>
      </c>
      <c r="Z11" s="5">
        <v>1.841540404040404</v>
      </c>
      <c r="AA11" s="5">
        <v>1.5157407407407408</v>
      </c>
      <c r="AB11" s="5">
        <v>1.9378787878787878</v>
      </c>
      <c r="AC11" s="5">
        <v>1.4809764309764308</v>
      </c>
    </row>
    <row r="12" spans="2:29">
      <c r="C12" s="6"/>
      <c r="D12" s="6"/>
      <c r="E12" s="6"/>
      <c r="F12" s="6"/>
      <c r="G12" s="6"/>
      <c r="K12" s="10" t="s">
        <v>97</v>
      </c>
      <c r="N12" s="10"/>
      <c r="Q12" s="14" t="s">
        <v>98</v>
      </c>
      <c r="X12" s="5" t="s">
        <v>92</v>
      </c>
      <c r="Y12" s="5">
        <v>7.0157854461819991E-2</v>
      </c>
      <c r="Z12" s="5">
        <v>2.4336108764904722E-2</v>
      </c>
      <c r="AA12" s="5">
        <v>5.7089921789097033E-2</v>
      </c>
      <c r="AB12" s="5">
        <v>0.27387799679383273</v>
      </c>
      <c r="AC12" s="5">
        <v>8.1553235806111832E-2</v>
      </c>
    </row>
    <row r="14" spans="2:29">
      <c r="C14" s="5" t="s">
        <v>82</v>
      </c>
      <c r="K14" s="10" t="s">
        <v>18</v>
      </c>
      <c r="X14" s="5" t="s">
        <v>99</v>
      </c>
    </row>
    <row r="15" spans="2:29">
      <c r="C15" s="5" t="s">
        <v>18</v>
      </c>
      <c r="D15" s="5" t="s">
        <v>19</v>
      </c>
      <c r="E15" s="5" t="s">
        <v>20</v>
      </c>
      <c r="F15" s="5" t="s">
        <v>21</v>
      </c>
      <c r="G15" s="5" t="s">
        <v>22</v>
      </c>
      <c r="K15" s="5" t="s">
        <v>91</v>
      </c>
      <c r="L15" s="10" t="s">
        <v>90</v>
      </c>
      <c r="M15" s="10" t="s">
        <v>89</v>
      </c>
      <c r="N15" s="10" t="s">
        <v>88</v>
      </c>
      <c r="O15" s="10" t="s">
        <v>38</v>
      </c>
      <c r="P15" s="10" t="s">
        <v>87</v>
      </c>
      <c r="Q15" s="10" t="s">
        <v>86</v>
      </c>
      <c r="R15" s="10" t="s">
        <v>85</v>
      </c>
      <c r="S15" s="10" t="s">
        <v>84</v>
      </c>
      <c r="T15" s="5">
        <v>132</v>
      </c>
      <c r="U15" s="5">
        <v>144</v>
      </c>
      <c r="V15" s="10" t="s">
        <v>83</v>
      </c>
      <c r="W15" s="10" t="s">
        <v>100</v>
      </c>
      <c r="X15" s="10" t="s">
        <v>101</v>
      </c>
    </row>
    <row r="16" spans="2:29">
      <c r="B16" s="5" t="s">
        <v>72</v>
      </c>
      <c r="C16" s="5">
        <v>6</v>
      </c>
      <c r="D16" s="5">
        <v>3</v>
      </c>
      <c r="E16" s="5">
        <v>6</v>
      </c>
      <c r="F16" s="5">
        <v>6</v>
      </c>
      <c r="G16" s="5">
        <v>7</v>
      </c>
      <c r="K16" s="13">
        <f>(C16-C4)*1</f>
        <v>6</v>
      </c>
      <c r="L16" s="13">
        <f>(C29-C16)*1.5</f>
        <v>0</v>
      </c>
      <c r="M16" s="13">
        <f>(C41-C29)*2</f>
        <v>6</v>
      </c>
      <c r="N16" s="13">
        <f>(C54-C41)*2.5</f>
        <v>0</v>
      </c>
      <c r="O16" s="13">
        <f>(C65-C54)*3</f>
        <v>0</v>
      </c>
      <c r="P16" s="13">
        <f>(C76-C65)*3.5</f>
        <v>0</v>
      </c>
      <c r="Q16" s="13">
        <f>(C87-C76)*4</f>
        <v>0</v>
      </c>
      <c r="R16" s="13">
        <f>(C98-C87)*4.5</f>
        <v>0</v>
      </c>
      <c r="S16" s="13">
        <f>(C111-C98)*5</f>
        <v>0</v>
      </c>
      <c r="T16" s="13">
        <f>(C121-C111)*5.5</f>
        <v>0</v>
      </c>
      <c r="U16" s="13">
        <f>(C131-C121)*6</f>
        <v>0</v>
      </c>
      <c r="V16" s="13">
        <f>SUM(K16:U16)</f>
        <v>12</v>
      </c>
      <c r="W16" s="5">
        <f>V16/C131</f>
        <v>1.3333333333333333</v>
      </c>
      <c r="X16" s="5">
        <f>1/W16</f>
        <v>0.75</v>
      </c>
    </row>
    <row r="17" spans="2:34">
      <c r="B17" s="5" t="s">
        <v>71</v>
      </c>
      <c r="C17" s="5">
        <v>5</v>
      </c>
      <c r="D17" s="5">
        <v>3</v>
      </c>
      <c r="E17" s="5">
        <v>5</v>
      </c>
      <c r="F17" s="5">
        <v>6</v>
      </c>
      <c r="G17" s="5">
        <v>4</v>
      </c>
      <c r="K17" s="13">
        <f t="shared" ref="K17:K21" si="0">(C17-C5)*1</f>
        <v>5</v>
      </c>
      <c r="L17" s="13">
        <f t="shared" ref="L17:L21" si="1">(C30-C17)*1.5</f>
        <v>1.5</v>
      </c>
      <c r="M17" s="13">
        <f t="shared" ref="M17:M21" si="2">(C42-C30)*2</f>
        <v>6</v>
      </c>
      <c r="N17" s="13">
        <f t="shared" ref="N17:N21" si="3">(C55-C42)*2.5</f>
        <v>2.5</v>
      </c>
      <c r="O17" s="13">
        <f t="shared" ref="O17:O21" si="4">(C66-C55)*3</f>
        <v>0</v>
      </c>
      <c r="P17" s="13">
        <f t="shared" ref="P17:P21" si="5">(C77-C66)*3.5</f>
        <v>0</v>
      </c>
      <c r="Q17" s="13">
        <f t="shared" ref="Q17:Q21" si="6">(C88-C77)*4</f>
        <v>0</v>
      </c>
      <c r="R17" s="13">
        <f t="shared" ref="R17:R21" si="7">(C99-C88)*4.5</f>
        <v>0</v>
      </c>
      <c r="S17" s="13">
        <f t="shared" ref="S17:S21" si="8">(C112-C99)*5</f>
        <v>0</v>
      </c>
      <c r="T17" s="13">
        <f t="shared" ref="T17:T21" si="9">(C122-C112)*5.5</f>
        <v>0</v>
      </c>
      <c r="U17" s="13">
        <f t="shared" ref="U17:U21" si="10">(C132-C122)*6</f>
        <v>0</v>
      </c>
      <c r="V17" s="13">
        <f t="shared" ref="V17:V21" si="11">SUM(K17:U17)</f>
        <v>15</v>
      </c>
      <c r="W17" s="5">
        <f>V17/C132</f>
        <v>1.5</v>
      </c>
      <c r="X17" s="5">
        <f t="shared" ref="X17:X21" si="12">1/W17</f>
        <v>0.66666666666666663</v>
      </c>
    </row>
    <row r="18" spans="2:34">
      <c r="B18" s="5" t="s">
        <v>70</v>
      </c>
      <c r="C18" s="5">
        <v>5</v>
      </c>
      <c r="D18" s="5">
        <v>3</v>
      </c>
      <c r="E18" s="5">
        <v>7</v>
      </c>
      <c r="F18" s="5">
        <v>5</v>
      </c>
      <c r="G18" s="5">
        <v>8</v>
      </c>
      <c r="K18" s="13">
        <f t="shared" si="0"/>
        <v>5</v>
      </c>
      <c r="L18" s="13">
        <f t="shared" si="1"/>
        <v>0</v>
      </c>
      <c r="M18" s="13">
        <f t="shared" si="2"/>
        <v>8</v>
      </c>
      <c r="N18" s="13">
        <f t="shared" si="3"/>
        <v>2.5</v>
      </c>
      <c r="O18" s="13">
        <f t="shared" si="4"/>
        <v>0</v>
      </c>
      <c r="P18" s="13">
        <f t="shared" si="5"/>
        <v>3.5</v>
      </c>
      <c r="Q18" s="13">
        <f t="shared" si="6"/>
        <v>4</v>
      </c>
      <c r="R18" s="13">
        <f t="shared" si="7"/>
        <v>0</v>
      </c>
      <c r="S18" s="13">
        <f t="shared" si="8"/>
        <v>0</v>
      </c>
      <c r="T18" s="13">
        <f t="shared" si="9"/>
        <v>0</v>
      </c>
      <c r="U18" s="13">
        <f t="shared" si="10"/>
        <v>0</v>
      </c>
      <c r="V18" s="13">
        <f t="shared" si="11"/>
        <v>23</v>
      </c>
      <c r="W18" s="5">
        <f t="shared" ref="W18:W21" si="13">V18/C133</f>
        <v>1.9166666666666667</v>
      </c>
      <c r="X18" s="5">
        <f t="shared" si="12"/>
        <v>0.52173913043478259</v>
      </c>
    </row>
    <row r="19" spans="2:34">
      <c r="B19" s="5" t="s">
        <v>69</v>
      </c>
      <c r="C19" s="5">
        <v>6</v>
      </c>
      <c r="D19" s="5">
        <v>4</v>
      </c>
      <c r="E19" s="5">
        <v>7</v>
      </c>
      <c r="F19" s="5">
        <v>5</v>
      </c>
      <c r="G19" s="5">
        <v>7</v>
      </c>
      <c r="K19" s="13">
        <f t="shared" si="0"/>
        <v>6</v>
      </c>
      <c r="L19" s="13">
        <f t="shared" si="1"/>
        <v>0</v>
      </c>
      <c r="M19" s="13">
        <f t="shared" si="2"/>
        <v>4</v>
      </c>
      <c r="N19" s="13">
        <f t="shared" si="3"/>
        <v>7.5</v>
      </c>
      <c r="O19" s="13">
        <f t="shared" si="4"/>
        <v>0</v>
      </c>
      <c r="P19" s="13">
        <f t="shared" si="5"/>
        <v>0</v>
      </c>
      <c r="Q19" s="13">
        <f t="shared" si="6"/>
        <v>0</v>
      </c>
      <c r="R19" s="13">
        <f t="shared" si="7"/>
        <v>0</v>
      </c>
      <c r="S19" s="13">
        <f t="shared" si="8"/>
        <v>0</v>
      </c>
      <c r="T19" s="13">
        <f t="shared" si="9"/>
        <v>0</v>
      </c>
      <c r="U19" s="13">
        <f t="shared" si="10"/>
        <v>0</v>
      </c>
      <c r="V19" s="13">
        <f t="shared" si="11"/>
        <v>17.5</v>
      </c>
      <c r="W19" s="5">
        <f t="shared" si="13"/>
        <v>1.5909090909090908</v>
      </c>
      <c r="X19" s="5">
        <f t="shared" si="12"/>
        <v>0.62857142857142856</v>
      </c>
    </row>
    <row r="20" spans="2:34">
      <c r="B20" s="5" t="s">
        <v>68</v>
      </c>
      <c r="C20" s="5">
        <v>4</v>
      </c>
      <c r="D20" s="5">
        <v>3</v>
      </c>
      <c r="E20" s="5">
        <v>8</v>
      </c>
      <c r="F20" s="5">
        <v>7</v>
      </c>
      <c r="G20" s="5">
        <v>8</v>
      </c>
      <c r="K20" s="13">
        <f t="shared" si="0"/>
        <v>4</v>
      </c>
      <c r="L20" s="13">
        <f t="shared" si="1"/>
        <v>0</v>
      </c>
      <c r="M20" s="13">
        <f t="shared" si="2"/>
        <v>8</v>
      </c>
      <c r="N20" s="13">
        <f t="shared" si="3"/>
        <v>2.5</v>
      </c>
      <c r="O20" s="13">
        <f t="shared" si="4"/>
        <v>3</v>
      </c>
      <c r="P20" s="13">
        <f t="shared" si="5"/>
        <v>0</v>
      </c>
      <c r="Q20" s="13">
        <f t="shared" si="6"/>
        <v>4</v>
      </c>
      <c r="R20" s="13">
        <f t="shared" si="7"/>
        <v>0</v>
      </c>
      <c r="S20" s="13">
        <f t="shared" si="8"/>
        <v>0</v>
      </c>
      <c r="T20" s="13">
        <f t="shared" si="9"/>
        <v>0</v>
      </c>
      <c r="U20" s="13">
        <f t="shared" si="10"/>
        <v>0</v>
      </c>
      <c r="V20" s="13">
        <f t="shared" si="11"/>
        <v>21.5</v>
      </c>
      <c r="W20" s="5">
        <f t="shared" si="13"/>
        <v>1.9545454545454546</v>
      </c>
      <c r="X20" s="5">
        <f t="shared" si="12"/>
        <v>0.51162790697674421</v>
      </c>
    </row>
    <row r="21" spans="2:34">
      <c r="B21" s="5" t="s">
        <v>67</v>
      </c>
      <c r="C21" s="5">
        <v>2</v>
      </c>
      <c r="D21" s="5">
        <v>3</v>
      </c>
      <c r="E21" s="5">
        <v>4</v>
      </c>
      <c r="F21" s="5">
        <v>6</v>
      </c>
      <c r="G21" s="5">
        <v>5</v>
      </c>
      <c r="K21" s="13">
        <f t="shared" si="0"/>
        <v>2</v>
      </c>
      <c r="L21" s="13">
        <f t="shared" si="1"/>
        <v>6</v>
      </c>
      <c r="M21" s="13">
        <f t="shared" si="2"/>
        <v>6</v>
      </c>
      <c r="N21" s="13">
        <f t="shared" si="3"/>
        <v>2.5</v>
      </c>
      <c r="O21" s="13">
        <f t="shared" si="4"/>
        <v>0</v>
      </c>
      <c r="P21" s="13">
        <f t="shared" si="5"/>
        <v>0</v>
      </c>
      <c r="Q21" s="13">
        <f t="shared" si="6"/>
        <v>4</v>
      </c>
      <c r="R21" s="13">
        <f t="shared" si="7"/>
        <v>0</v>
      </c>
      <c r="S21" s="13">
        <f t="shared" si="8"/>
        <v>0</v>
      </c>
      <c r="T21" s="13">
        <f t="shared" si="9"/>
        <v>0</v>
      </c>
      <c r="U21" s="13">
        <f t="shared" si="10"/>
        <v>0</v>
      </c>
      <c r="V21" s="13">
        <f t="shared" si="11"/>
        <v>20.5</v>
      </c>
      <c r="W21" s="5">
        <f t="shared" si="13"/>
        <v>1.8636363636363635</v>
      </c>
      <c r="X21" s="5">
        <f t="shared" si="12"/>
        <v>0.53658536585365857</v>
      </c>
    </row>
    <row r="22" spans="2:34">
      <c r="B22" s="5" t="s">
        <v>66</v>
      </c>
      <c r="C22" s="8">
        <f>AVERAGE(C16:C21)</f>
        <v>4.666666666666667</v>
      </c>
      <c r="D22" s="8">
        <f>AVERAGE(D16:D21)</f>
        <v>3.1666666666666665</v>
      </c>
      <c r="E22" s="8">
        <f>AVERAGE(E16:E21)</f>
        <v>6.166666666666667</v>
      </c>
      <c r="F22" s="8">
        <f>AVERAGE(F16:F21)</f>
        <v>5.833333333333333</v>
      </c>
      <c r="G22" s="8">
        <f>AVERAGE(G16:G21)</f>
        <v>6.5</v>
      </c>
      <c r="L22" s="13"/>
      <c r="V22" s="5" t="s">
        <v>66</v>
      </c>
      <c r="W22" s="12">
        <f>AVERAGE(W16:W21)</f>
        <v>1.6931818181818181</v>
      </c>
      <c r="X22" s="12">
        <f>AVERAGE(X16:X21)</f>
        <v>0.6025317497505468</v>
      </c>
    </row>
    <row r="23" spans="2:34">
      <c r="B23" s="5" t="s">
        <v>65</v>
      </c>
      <c r="C23" s="8">
        <f>STDEV(C16:C21)</f>
        <v>1.5055453054181624</v>
      </c>
      <c r="D23" s="8">
        <f>STDEV(D16:D21)</f>
        <v>0.40824829046386357</v>
      </c>
      <c r="E23" s="8">
        <f>STDEV(E16:E21)</f>
        <v>1.4719601443879753</v>
      </c>
      <c r="F23" s="8">
        <f>STDEV(F16:F21)</f>
        <v>0.75277265270908222</v>
      </c>
      <c r="G23" s="8">
        <f>STDEV(G16:G21)</f>
        <v>1.6431676725154984</v>
      </c>
      <c r="L23" s="13"/>
      <c r="V23" s="5" t="s">
        <v>65</v>
      </c>
      <c r="W23" s="12">
        <f>STDEV(W16:W21)</f>
        <v>0.25478659213122828</v>
      </c>
      <c r="X23" s="12">
        <f>STDEV(X16:X21)</f>
        <v>9.5580456986341863E-2</v>
      </c>
    </row>
    <row r="24" spans="2:34">
      <c r="B24" s="5" t="s">
        <v>64</v>
      </c>
      <c r="C24" s="6">
        <f>CONFIDENCE(0.5,C23,6)</f>
        <v>0.41456588252807669</v>
      </c>
      <c r="D24" s="6">
        <f>CONFIDENCE(0.5,D23,6)</f>
        <v>0.11241495836601376</v>
      </c>
      <c r="E24" s="6">
        <f>CONFIDENCE(0.5,E23,6)</f>
        <v>0.4053178965178118</v>
      </c>
      <c r="F24" s="6">
        <f>CONFIDENCE(0.5,F23,6)</f>
        <v>0.20728294126403862</v>
      </c>
      <c r="G24" s="6">
        <f>CONFIDENCE(0.5,G23,6)</f>
        <v>0.45246147946958726</v>
      </c>
      <c r="L24" s="13"/>
      <c r="V24" s="5" t="s">
        <v>64</v>
      </c>
      <c r="W24" s="12">
        <f>CONFIDENCE(0.5,W23,6)</f>
        <v>7.0157854461819991E-2</v>
      </c>
      <c r="X24" s="12">
        <f>CONFIDENCE(0.5,X23,6)</f>
        <v>2.6318966530186273E-2</v>
      </c>
    </row>
    <row r="27" spans="2:34">
      <c r="D27" s="5" t="s">
        <v>63</v>
      </c>
      <c r="K27" s="10" t="s">
        <v>19</v>
      </c>
      <c r="X27" s="5" t="s">
        <v>99</v>
      </c>
    </row>
    <row r="28" spans="2:34">
      <c r="C28" s="5" t="s">
        <v>48</v>
      </c>
      <c r="D28" s="5" t="s">
        <v>47</v>
      </c>
      <c r="E28" s="5" t="s">
        <v>46</v>
      </c>
      <c r="F28" s="5" t="s">
        <v>45</v>
      </c>
      <c r="G28" s="5" t="s">
        <v>44</v>
      </c>
      <c r="K28" s="5" t="s">
        <v>91</v>
      </c>
      <c r="L28" s="10" t="s">
        <v>90</v>
      </c>
      <c r="M28" s="10" t="s">
        <v>89</v>
      </c>
      <c r="N28" s="10" t="s">
        <v>88</v>
      </c>
      <c r="O28" s="10" t="s">
        <v>38</v>
      </c>
      <c r="P28" s="10" t="s">
        <v>87</v>
      </c>
      <c r="Q28" s="10" t="s">
        <v>86</v>
      </c>
      <c r="R28" s="10" t="s">
        <v>85</v>
      </c>
      <c r="S28" s="10" t="s">
        <v>84</v>
      </c>
      <c r="T28" s="5">
        <v>132</v>
      </c>
      <c r="U28" s="5">
        <v>144</v>
      </c>
      <c r="V28" s="10" t="s">
        <v>83</v>
      </c>
      <c r="W28" s="10" t="s">
        <v>100</v>
      </c>
      <c r="X28" s="10" t="s">
        <v>101</v>
      </c>
      <c r="AD28" s="5" t="s">
        <v>102</v>
      </c>
    </row>
    <row r="29" spans="2:34">
      <c r="B29" s="5">
        <v>1</v>
      </c>
      <c r="C29" s="5">
        <v>6</v>
      </c>
      <c r="D29" s="5">
        <v>4</v>
      </c>
      <c r="E29" s="5">
        <v>6</v>
      </c>
      <c r="F29" s="5">
        <v>6</v>
      </c>
      <c r="G29" s="5">
        <v>7</v>
      </c>
      <c r="K29" s="13">
        <f>(D16-D4)*1</f>
        <v>3</v>
      </c>
      <c r="L29" s="13">
        <f>(D29-D16)*1.5</f>
        <v>1.5</v>
      </c>
      <c r="M29" s="13">
        <f>(D41-D29)*2</f>
        <v>8</v>
      </c>
      <c r="N29" s="13">
        <f>(D54-D41)*2.5</f>
        <v>5</v>
      </c>
      <c r="O29" s="13">
        <f>(D65-D54)*3</f>
        <v>0</v>
      </c>
      <c r="P29" s="13">
        <f>(D76-D65)*3.5</f>
        <v>0</v>
      </c>
      <c r="Q29" s="13">
        <f>(D87-D76)*4</f>
        <v>0</v>
      </c>
      <c r="R29" s="13">
        <f>(D98-D87)*4.5</f>
        <v>0</v>
      </c>
      <c r="S29" s="13">
        <f>(D111-D98)*5</f>
        <v>0</v>
      </c>
      <c r="T29" s="13">
        <f>(D121-D111)*5.5</f>
        <v>0</v>
      </c>
      <c r="U29" s="13">
        <f>(D131-D121)*6</f>
        <v>0</v>
      </c>
      <c r="V29" s="13">
        <f>SUM(K29:U29)</f>
        <v>17.5</v>
      </c>
      <c r="W29" s="5">
        <f>V29/D131</f>
        <v>1.75</v>
      </c>
      <c r="X29" s="5">
        <f>1/W29</f>
        <v>0.5714285714285714</v>
      </c>
    </row>
    <row r="30" spans="2:34">
      <c r="B30" s="5">
        <v>2</v>
      </c>
      <c r="C30" s="5">
        <v>6</v>
      </c>
      <c r="D30" s="5">
        <v>3</v>
      </c>
      <c r="E30" s="5">
        <v>5</v>
      </c>
      <c r="F30" s="5">
        <v>6</v>
      </c>
      <c r="G30" s="5">
        <v>4</v>
      </c>
      <c r="K30" s="13">
        <f t="shared" ref="K30:K34" si="14">(D17-D5)*1</f>
        <v>3</v>
      </c>
      <c r="L30" s="13">
        <f t="shared" ref="L30:L34" si="15">(D30-D17)*1.5</f>
        <v>0</v>
      </c>
      <c r="M30" s="13">
        <f t="shared" ref="M30:M34" si="16">(D42-D30)*2</f>
        <v>14</v>
      </c>
      <c r="N30" s="13">
        <f t="shared" ref="N30:N34" si="17">(D55-D42)*2.5</f>
        <v>0</v>
      </c>
      <c r="O30" s="13">
        <f t="shared" ref="O30:O34" si="18">(D66-D55)*3</f>
        <v>0</v>
      </c>
      <c r="P30" s="13">
        <f t="shared" ref="P30:P34" si="19">(D77-D66)*3.5</f>
        <v>3.5</v>
      </c>
      <c r="Q30" s="13">
        <f t="shared" ref="Q30:Q34" si="20">(D88-D77)*4</f>
        <v>0</v>
      </c>
      <c r="R30" s="13">
        <f t="shared" ref="R30:R34" si="21">(D99-D88)*4.5</f>
        <v>0</v>
      </c>
      <c r="S30" s="13">
        <f t="shared" ref="S30:S34" si="22">(D112-D99)*5</f>
        <v>0</v>
      </c>
      <c r="T30" s="13">
        <f t="shared" ref="T30:T34" si="23">(D122-D112)*5.5</f>
        <v>0</v>
      </c>
      <c r="U30" s="13">
        <f t="shared" ref="U30:U34" si="24">(D132-D122)*6</f>
        <v>0</v>
      </c>
      <c r="V30" s="13">
        <f t="shared" ref="V30:V34" si="25">SUM(K30:U30)</f>
        <v>20.5</v>
      </c>
      <c r="W30" s="5">
        <f t="shared" ref="W30:W34" si="26">V30/D132</f>
        <v>1.8636363636363635</v>
      </c>
      <c r="X30" s="5">
        <f t="shared" ref="X30:X34" si="27">1/W30</f>
        <v>0.53658536585365857</v>
      </c>
      <c r="AD30" s="11" t="s">
        <v>77</v>
      </c>
      <c r="AE30" s="10" t="s">
        <v>76</v>
      </c>
      <c r="AF30" s="10" t="s">
        <v>80</v>
      </c>
      <c r="AG30" s="10" t="s">
        <v>79</v>
      </c>
      <c r="AH30" s="10" t="s">
        <v>78</v>
      </c>
    </row>
    <row r="31" spans="2:34">
      <c r="B31" s="5">
        <v>3</v>
      </c>
      <c r="C31" s="5">
        <v>5</v>
      </c>
      <c r="D31" s="5">
        <v>5</v>
      </c>
      <c r="E31" s="5">
        <v>7</v>
      </c>
      <c r="F31" s="5">
        <v>5</v>
      </c>
      <c r="G31" s="5">
        <v>8</v>
      </c>
      <c r="K31" s="13">
        <f t="shared" si="14"/>
        <v>3</v>
      </c>
      <c r="L31" s="13">
        <f t="shared" si="15"/>
        <v>3</v>
      </c>
      <c r="M31" s="13">
        <f t="shared" si="16"/>
        <v>8</v>
      </c>
      <c r="N31" s="13">
        <f t="shared" si="17"/>
        <v>0</v>
      </c>
      <c r="O31" s="13">
        <f t="shared" si="18"/>
        <v>6</v>
      </c>
      <c r="P31" s="13">
        <f t="shared" si="19"/>
        <v>3.5</v>
      </c>
      <c r="Q31" s="13">
        <f t="shared" si="20"/>
        <v>0</v>
      </c>
      <c r="R31" s="13">
        <f t="shared" si="21"/>
        <v>0</v>
      </c>
      <c r="S31" s="13">
        <f t="shared" si="22"/>
        <v>0</v>
      </c>
      <c r="T31" s="13">
        <f t="shared" si="23"/>
        <v>0</v>
      </c>
      <c r="U31" s="13">
        <f t="shared" si="24"/>
        <v>0</v>
      </c>
      <c r="V31" s="13">
        <f t="shared" si="25"/>
        <v>23.5</v>
      </c>
      <c r="W31" s="5">
        <f t="shared" si="26"/>
        <v>1.9583333333333333</v>
      </c>
      <c r="X31" s="5">
        <f t="shared" si="27"/>
        <v>0.5106382978723405</v>
      </c>
      <c r="AC31" s="5" t="s">
        <v>43</v>
      </c>
      <c r="AD31" s="5">
        <v>0.6025317497505468</v>
      </c>
      <c r="AE31" s="5">
        <v>0.54407598893164122</v>
      </c>
      <c r="AF31" s="5">
        <v>0.66966405508072169</v>
      </c>
      <c r="AG31" s="5">
        <v>0.58826687101567687</v>
      </c>
      <c r="AH31" s="5">
        <v>0.69670254670254683</v>
      </c>
    </row>
    <row r="32" spans="2:34">
      <c r="B32" s="5">
        <v>4</v>
      </c>
      <c r="C32" s="5">
        <v>6</v>
      </c>
      <c r="D32" s="5">
        <v>4</v>
      </c>
      <c r="E32" s="5">
        <v>7</v>
      </c>
      <c r="F32" s="5">
        <v>5</v>
      </c>
      <c r="G32" s="5">
        <v>7</v>
      </c>
      <c r="K32" s="13">
        <f t="shared" si="14"/>
        <v>4</v>
      </c>
      <c r="L32" s="13">
        <f t="shared" si="15"/>
        <v>0</v>
      </c>
      <c r="M32" s="13">
        <f t="shared" si="16"/>
        <v>8</v>
      </c>
      <c r="N32" s="13">
        <f t="shared" si="17"/>
        <v>0</v>
      </c>
      <c r="O32" s="13">
        <f t="shared" si="18"/>
        <v>3</v>
      </c>
      <c r="P32" s="13">
        <f t="shared" si="19"/>
        <v>3.5</v>
      </c>
      <c r="Q32" s="13">
        <f t="shared" si="20"/>
        <v>0</v>
      </c>
      <c r="R32" s="13">
        <f t="shared" si="21"/>
        <v>0</v>
      </c>
      <c r="S32" s="13">
        <f t="shared" si="22"/>
        <v>0</v>
      </c>
      <c r="T32" s="13">
        <f t="shared" si="23"/>
        <v>0</v>
      </c>
      <c r="U32" s="13">
        <f t="shared" si="24"/>
        <v>0</v>
      </c>
      <c r="V32" s="13">
        <f t="shared" si="25"/>
        <v>18.5</v>
      </c>
      <c r="W32" s="5">
        <f t="shared" si="26"/>
        <v>1.85</v>
      </c>
      <c r="X32" s="5">
        <f t="shared" si="27"/>
        <v>0.54054054054054046</v>
      </c>
      <c r="AC32" s="5" t="s">
        <v>92</v>
      </c>
      <c r="AD32" s="5">
        <v>2.6318966530186273E-2</v>
      </c>
      <c r="AE32" s="5">
        <v>7.2501525971149653E-3</v>
      </c>
      <c r="AF32" s="5">
        <v>2.4031385394394887E-2</v>
      </c>
      <c r="AG32" s="5">
        <v>4.723488754873216E-2</v>
      </c>
      <c r="AH32" s="5">
        <v>3.5658615620068952E-2</v>
      </c>
    </row>
    <row r="33" spans="2:24">
      <c r="B33" s="5">
        <v>5</v>
      </c>
      <c r="C33" s="5">
        <v>4</v>
      </c>
      <c r="D33" s="5">
        <v>3</v>
      </c>
      <c r="E33" s="5">
        <v>8</v>
      </c>
      <c r="F33" s="5">
        <v>7</v>
      </c>
      <c r="G33" s="5">
        <v>8</v>
      </c>
      <c r="K33" s="13">
        <f t="shared" si="14"/>
        <v>3</v>
      </c>
      <c r="L33" s="13">
        <f t="shared" si="15"/>
        <v>0</v>
      </c>
      <c r="M33" s="13">
        <f t="shared" si="16"/>
        <v>10</v>
      </c>
      <c r="N33" s="13">
        <f t="shared" si="17"/>
        <v>2.5</v>
      </c>
      <c r="O33" s="13">
        <f t="shared" si="18"/>
        <v>0</v>
      </c>
      <c r="P33" s="13">
        <f t="shared" si="19"/>
        <v>3.5</v>
      </c>
      <c r="Q33" s="13">
        <f t="shared" si="20"/>
        <v>0</v>
      </c>
      <c r="R33" s="13">
        <f t="shared" si="21"/>
        <v>0</v>
      </c>
      <c r="S33" s="13">
        <f t="shared" si="22"/>
        <v>0</v>
      </c>
      <c r="T33" s="13">
        <f t="shared" si="23"/>
        <v>0</v>
      </c>
      <c r="U33" s="13">
        <f t="shared" si="24"/>
        <v>0</v>
      </c>
      <c r="V33" s="13">
        <f t="shared" si="25"/>
        <v>19</v>
      </c>
      <c r="W33" s="5">
        <f t="shared" si="26"/>
        <v>1.9</v>
      </c>
      <c r="X33" s="5">
        <f t="shared" si="27"/>
        <v>0.52631578947368418</v>
      </c>
    </row>
    <row r="34" spans="2:24">
      <c r="B34" s="5">
        <v>6</v>
      </c>
      <c r="C34" s="5">
        <v>6</v>
      </c>
      <c r="D34" s="5">
        <v>3</v>
      </c>
      <c r="E34" s="5">
        <v>4</v>
      </c>
      <c r="F34" s="5">
        <v>7</v>
      </c>
      <c r="G34" s="5">
        <v>5</v>
      </c>
      <c r="K34" s="13">
        <f t="shared" si="14"/>
        <v>3</v>
      </c>
      <c r="L34" s="13">
        <f t="shared" si="15"/>
        <v>0</v>
      </c>
      <c r="M34" s="13">
        <f t="shared" si="16"/>
        <v>16</v>
      </c>
      <c r="N34" s="13">
        <f t="shared" si="17"/>
        <v>0</v>
      </c>
      <c r="O34" s="13">
        <f t="shared" si="18"/>
        <v>0</v>
      </c>
      <c r="P34" s="13">
        <f t="shared" si="19"/>
        <v>0</v>
      </c>
      <c r="Q34" s="13">
        <f t="shared" si="20"/>
        <v>0</v>
      </c>
      <c r="R34" s="13">
        <f t="shared" si="21"/>
        <v>0</v>
      </c>
      <c r="S34" s="13">
        <f t="shared" si="22"/>
        <v>0</v>
      </c>
      <c r="T34" s="13">
        <f t="shared" si="23"/>
        <v>0</v>
      </c>
      <c r="U34" s="13">
        <f t="shared" si="24"/>
        <v>0</v>
      </c>
      <c r="V34" s="13">
        <f t="shared" si="25"/>
        <v>19</v>
      </c>
      <c r="W34" s="5">
        <f t="shared" si="26"/>
        <v>1.7272727272727273</v>
      </c>
      <c r="X34" s="5">
        <f t="shared" si="27"/>
        <v>0.57894736842105265</v>
      </c>
    </row>
    <row r="35" spans="2:24">
      <c r="B35" s="5" t="s">
        <v>50</v>
      </c>
      <c r="C35" s="8">
        <f>AVERAGE(C29:C34)</f>
        <v>5.5</v>
      </c>
      <c r="D35" s="8">
        <f>AVERAGE(D29:D34)</f>
        <v>3.6666666666666665</v>
      </c>
      <c r="E35" s="8">
        <f>AVERAGE(E29:E34)</f>
        <v>6.166666666666667</v>
      </c>
      <c r="F35" s="8">
        <f>AVERAGE(F29:F34)</f>
        <v>6</v>
      </c>
      <c r="G35" s="8">
        <f>AVERAGE(G29:G34)</f>
        <v>6.5</v>
      </c>
      <c r="L35" s="13"/>
      <c r="V35" s="5" t="s">
        <v>66</v>
      </c>
      <c r="W35" s="12">
        <f>AVERAGE(W29:W34)</f>
        <v>1.841540404040404</v>
      </c>
      <c r="X35" s="12">
        <f>AVERAGE(X29:X34)</f>
        <v>0.54407598893164122</v>
      </c>
    </row>
    <row r="36" spans="2:24">
      <c r="B36" s="5" t="s">
        <v>42</v>
      </c>
      <c r="C36" s="6">
        <f>STDEV(C29:C34)</f>
        <v>0.83666002653407556</v>
      </c>
      <c r="D36" s="6">
        <f>STDEV(D29:D34)</f>
        <v>0.81649658092772548</v>
      </c>
      <c r="E36" s="6">
        <f>STDEV(E29:E34)</f>
        <v>1.4719601443879753</v>
      </c>
      <c r="F36" s="6">
        <f>STDEV(F29:F34)</f>
        <v>0.89442719099991586</v>
      </c>
      <c r="G36" s="6">
        <f>STDEV(G29:G34)</f>
        <v>1.6431676725154984</v>
      </c>
      <c r="L36" s="13"/>
      <c r="V36" s="5" t="s">
        <v>65</v>
      </c>
      <c r="W36" s="12">
        <f>STDEV(W29:W34)</f>
        <v>8.8379473196679895E-2</v>
      </c>
      <c r="X36" s="12">
        <f>STDEV(X29:X34)</f>
        <v>2.6329791394284551E-2</v>
      </c>
    </row>
    <row r="37" spans="2:24">
      <c r="B37" s="5" t="s">
        <v>62</v>
      </c>
      <c r="C37" s="6">
        <f>CONFIDENCE(0.5,C36,6)</f>
        <v>0.23038210874678791</v>
      </c>
      <c r="D37" s="6">
        <f>CONFIDENCE(0.5,D36,6)</f>
        <v>0.22482991673202707</v>
      </c>
      <c r="E37" s="6">
        <f>CONFIDENCE(0.5,E36,6)</f>
        <v>0.4053178965178118</v>
      </c>
      <c r="F37" s="6">
        <f>CONFIDENCE(0.5,F36,6)</f>
        <v>0.24628883399227897</v>
      </c>
      <c r="G37" s="6">
        <f>CONFIDENCE(0.5,G36,6)</f>
        <v>0.45246147946958726</v>
      </c>
      <c r="L37" s="13"/>
      <c r="V37" s="5" t="s">
        <v>64</v>
      </c>
      <c r="W37" s="12">
        <f>CONFIDENCE(0.5,W36,6)</f>
        <v>2.4336108764904722E-2</v>
      </c>
      <c r="X37" s="12">
        <f>CONFIDENCE(0.5,X36,6)</f>
        <v>7.2501525971149653E-3</v>
      </c>
    </row>
    <row r="38" spans="2:24">
      <c r="K38" s="5" t="s">
        <v>20</v>
      </c>
    </row>
    <row r="39" spans="2:24">
      <c r="C39" s="5" t="s">
        <v>61</v>
      </c>
      <c r="X39" s="5" t="s">
        <v>99</v>
      </c>
    </row>
    <row r="40" spans="2:24">
      <c r="C40" s="5" t="s">
        <v>48</v>
      </c>
      <c r="D40" s="5" t="s">
        <v>47</v>
      </c>
      <c r="E40" s="5" t="s">
        <v>46</v>
      </c>
      <c r="F40" s="5" t="s">
        <v>45</v>
      </c>
      <c r="G40" s="5" t="s">
        <v>44</v>
      </c>
      <c r="K40" s="5" t="s">
        <v>91</v>
      </c>
      <c r="L40" s="10" t="s">
        <v>90</v>
      </c>
      <c r="M40" s="10" t="s">
        <v>89</v>
      </c>
      <c r="N40" s="10" t="s">
        <v>88</v>
      </c>
      <c r="O40" s="10" t="s">
        <v>38</v>
      </c>
      <c r="P40" s="10" t="s">
        <v>87</v>
      </c>
      <c r="Q40" s="10" t="s">
        <v>86</v>
      </c>
      <c r="R40" s="10" t="s">
        <v>85</v>
      </c>
      <c r="S40" s="10" t="s">
        <v>84</v>
      </c>
      <c r="T40" s="5">
        <v>132</v>
      </c>
      <c r="U40" s="5">
        <v>144</v>
      </c>
      <c r="V40" s="10" t="s">
        <v>83</v>
      </c>
      <c r="W40" s="10" t="s">
        <v>100</v>
      </c>
      <c r="X40" s="10" t="s">
        <v>101</v>
      </c>
    </row>
    <row r="41" spans="2:24">
      <c r="B41" s="5">
        <v>1</v>
      </c>
      <c r="C41" s="5">
        <v>9</v>
      </c>
      <c r="D41" s="5">
        <v>8</v>
      </c>
      <c r="E41" s="5">
        <v>9</v>
      </c>
      <c r="F41" s="5">
        <v>10</v>
      </c>
      <c r="G41" s="5">
        <v>11</v>
      </c>
      <c r="K41" s="13">
        <f>(E16-E4)*1</f>
        <v>6</v>
      </c>
      <c r="L41" s="13">
        <f>(E29-E16)*1.5</f>
        <v>0</v>
      </c>
      <c r="M41" s="13">
        <f>(E41-E29)*2</f>
        <v>6</v>
      </c>
      <c r="N41" s="13">
        <f>(E54-E41)*2.5</f>
        <v>0</v>
      </c>
      <c r="O41" s="13">
        <f>(E65-E54)*3</f>
        <v>0</v>
      </c>
      <c r="P41" s="13">
        <f>(E76-E65)*3.5</f>
        <v>3.5</v>
      </c>
      <c r="Q41" s="13">
        <f>(E87-E76)*4</f>
        <v>4</v>
      </c>
      <c r="R41" s="13">
        <f>(E98-E87)*4.5</f>
        <v>0</v>
      </c>
      <c r="S41" s="13">
        <f>(E111-E98)*5</f>
        <v>0</v>
      </c>
      <c r="T41" s="13">
        <f>(E121-E111)*5.5</f>
        <v>0</v>
      </c>
      <c r="U41" s="13">
        <f>(E131-E121)*6</f>
        <v>0</v>
      </c>
      <c r="V41" s="13">
        <f>SUM(K41:U41)</f>
        <v>19.5</v>
      </c>
      <c r="W41" s="5">
        <f>V41/E131</f>
        <v>1.7727272727272727</v>
      </c>
      <c r="X41" s="5">
        <f>1/W41</f>
        <v>0.5641025641025641</v>
      </c>
    </row>
    <row r="42" spans="2:24">
      <c r="B42" s="5">
        <v>2</v>
      </c>
      <c r="C42" s="5">
        <v>9</v>
      </c>
      <c r="D42" s="5">
        <v>10</v>
      </c>
      <c r="E42" s="5">
        <v>9</v>
      </c>
      <c r="F42" s="5">
        <v>8</v>
      </c>
      <c r="G42" s="5">
        <v>8</v>
      </c>
      <c r="K42" s="13">
        <f t="shared" ref="K42:K46" si="28">(E17-E5)*1</f>
        <v>5</v>
      </c>
      <c r="L42" s="13">
        <f t="shared" ref="L42:L46" si="29">(E30-E17)*1.5</f>
        <v>0</v>
      </c>
      <c r="M42" s="13">
        <f t="shared" ref="M42:M46" si="30">(E42-E30)*2</f>
        <v>8</v>
      </c>
      <c r="N42" s="13">
        <f t="shared" ref="N42:N46" si="31">(E55-E42)*2.5</f>
        <v>0</v>
      </c>
      <c r="O42" s="13">
        <f t="shared" ref="O42:O46" si="32">(E66-E55)*3</f>
        <v>0</v>
      </c>
      <c r="P42" s="13">
        <f t="shared" ref="P42:P46" si="33">(E77-E66)*3.5</f>
        <v>0</v>
      </c>
      <c r="Q42" s="13">
        <f t="shared" ref="Q42:Q46" si="34">(E88-E77)*4</f>
        <v>0</v>
      </c>
      <c r="R42" s="13">
        <f t="shared" ref="R42:R46" si="35">(E99-E88)*4.5</f>
        <v>0</v>
      </c>
      <c r="S42" s="13">
        <f t="shared" ref="S42:S46" si="36">(E112-E99)*5</f>
        <v>0</v>
      </c>
      <c r="T42" s="13">
        <f t="shared" ref="T42:T46" si="37">(E122-E112)*5.5</f>
        <v>0</v>
      </c>
      <c r="U42" s="13">
        <f t="shared" ref="U42:U46" si="38">(E132-E122)*6</f>
        <v>0</v>
      </c>
      <c r="V42" s="13">
        <f t="shared" ref="V42:V46" si="39">SUM(K42:U42)</f>
        <v>13</v>
      </c>
      <c r="W42" s="5">
        <f t="shared" ref="W42:W46" si="40">V42/E132</f>
        <v>1.4444444444444444</v>
      </c>
      <c r="X42" s="5">
        <f t="shared" ref="X42:X46" si="41">1/W42</f>
        <v>0.69230769230769229</v>
      </c>
    </row>
    <row r="43" spans="2:24">
      <c r="B43" s="5">
        <v>3</v>
      </c>
      <c r="C43" s="5">
        <v>9</v>
      </c>
      <c r="D43" s="5">
        <v>9</v>
      </c>
      <c r="E43" s="5">
        <v>9</v>
      </c>
      <c r="F43" s="5">
        <v>7</v>
      </c>
      <c r="G43" s="5">
        <v>9</v>
      </c>
      <c r="K43" s="13">
        <f t="shared" si="28"/>
        <v>7</v>
      </c>
      <c r="L43" s="13">
        <f t="shared" si="29"/>
        <v>0</v>
      </c>
      <c r="M43" s="13">
        <f t="shared" si="30"/>
        <v>4</v>
      </c>
      <c r="N43" s="13">
        <f t="shared" si="31"/>
        <v>2.5</v>
      </c>
      <c r="O43" s="13">
        <f t="shared" si="32"/>
        <v>0</v>
      </c>
      <c r="P43" s="13">
        <f t="shared" si="33"/>
        <v>0</v>
      </c>
      <c r="Q43" s="13">
        <f t="shared" si="34"/>
        <v>0</v>
      </c>
      <c r="R43" s="13">
        <f t="shared" si="35"/>
        <v>0</v>
      </c>
      <c r="S43" s="13">
        <f t="shared" si="36"/>
        <v>0</v>
      </c>
      <c r="T43" s="13">
        <f t="shared" si="37"/>
        <v>0</v>
      </c>
      <c r="U43" s="13">
        <f t="shared" si="38"/>
        <v>0</v>
      </c>
      <c r="V43" s="13">
        <f t="shared" si="39"/>
        <v>13.5</v>
      </c>
      <c r="W43" s="5">
        <f t="shared" si="40"/>
        <v>1.35</v>
      </c>
      <c r="X43" s="5">
        <f t="shared" si="41"/>
        <v>0.7407407407407407</v>
      </c>
    </row>
    <row r="44" spans="2:24">
      <c r="B44" s="5">
        <v>4</v>
      </c>
      <c r="C44" s="5">
        <v>8</v>
      </c>
      <c r="D44" s="5">
        <v>8</v>
      </c>
      <c r="E44" s="5">
        <v>10</v>
      </c>
      <c r="F44" s="5">
        <v>9</v>
      </c>
      <c r="G44" s="5">
        <v>9</v>
      </c>
      <c r="K44" s="13">
        <f t="shared" si="28"/>
        <v>7</v>
      </c>
      <c r="L44" s="13">
        <f t="shared" si="29"/>
        <v>0</v>
      </c>
      <c r="M44" s="13">
        <f t="shared" si="30"/>
        <v>6</v>
      </c>
      <c r="N44" s="13">
        <f t="shared" si="31"/>
        <v>0</v>
      </c>
      <c r="O44" s="13">
        <f t="shared" si="32"/>
        <v>0</v>
      </c>
      <c r="P44" s="13">
        <f t="shared" si="33"/>
        <v>0</v>
      </c>
      <c r="Q44" s="13">
        <f t="shared" si="34"/>
        <v>0</v>
      </c>
      <c r="R44" s="13">
        <f t="shared" si="35"/>
        <v>0</v>
      </c>
      <c r="S44" s="13">
        <f t="shared" si="36"/>
        <v>0</v>
      </c>
      <c r="T44" s="13">
        <f t="shared" si="37"/>
        <v>0</v>
      </c>
      <c r="U44" s="13">
        <f t="shared" si="38"/>
        <v>0</v>
      </c>
      <c r="V44" s="13">
        <f t="shared" si="39"/>
        <v>13</v>
      </c>
      <c r="W44" s="5">
        <f t="shared" si="40"/>
        <v>1.3</v>
      </c>
      <c r="X44" s="5">
        <f t="shared" si="41"/>
        <v>0.76923076923076916</v>
      </c>
    </row>
    <row r="45" spans="2:24">
      <c r="B45" s="5">
        <v>5</v>
      </c>
      <c r="C45" s="5">
        <v>8</v>
      </c>
      <c r="D45" s="5">
        <v>8</v>
      </c>
      <c r="E45" s="5">
        <v>10</v>
      </c>
      <c r="F45" s="5">
        <v>10</v>
      </c>
      <c r="G45" s="5">
        <v>10</v>
      </c>
      <c r="K45" s="13">
        <f t="shared" si="28"/>
        <v>8</v>
      </c>
      <c r="L45" s="13">
        <f t="shared" si="29"/>
        <v>0</v>
      </c>
      <c r="M45" s="13">
        <f t="shared" si="30"/>
        <v>4</v>
      </c>
      <c r="N45" s="13">
        <f t="shared" si="31"/>
        <v>0</v>
      </c>
      <c r="O45" s="13">
        <f t="shared" si="32"/>
        <v>0</v>
      </c>
      <c r="P45" s="13">
        <f t="shared" si="33"/>
        <v>0</v>
      </c>
      <c r="Q45" s="13">
        <f t="shared" si="34"/>
        <v>4</v>
      </c>
      <c r="R45" s="13">
        <f t="shared" si="35"/>
        <v>0</v>
      </c>
      <c r="S45" s="13">
        <f t="shared" si="36"/>
        <v>0</v>
      </c>
      <c r="T45" s="13">
        <f t="shared" si="37"/>
        <v>0</v>
      </c>
      <c r="U45" s="13">
        <f t="shared" si="38"/>
        <v>0</v>
      </c>
      <c r="V45" s="13">
        <f t="shared" si="39"/>
        <v>16</v>
      </c>
      <c r="W45" s="5">
        <f t="shared" si="40"/>
        <v>1.4545454545454546</v>
      </c>
      <c r="X45" s="5">
        <f t="shared" si="41"/>
        <v>0.6875</v>
      </c>
    </row>
    <row r="46" spans="2:24">
      <c r="B46" s="5">
        <v>6</v>
      </c>
      <c r="C46" s="5">
        <v>9</v>
      </c>
      <c r="D46" s="5">
        <v>11</v>
      </c>
      <c r="E46" s="5">
        <v>10</v>
      </c>
      <c r="F46" s="5">
        <v>7</v>
      </c>
      <c r="G46" s="5">
        <v>8</v>
      </c>
      <c r="K46" s="13">
        <f t="shared" si="28"/>
        <v>4</v>
      </c>
      <c r="L46" s="13">
        <f t="shared" si="29"/>
        <v>0</v>
      </c>
      <c r="M46" s="13">
        <f t="shared" si="30"/>
        <v>12</v>
      </c>
      <c r="N46" s="13">
        <f t="shared" si="31"/>
        <v>0</v>
      </c>
      <c r="O46" s="13">
        <f t="shared" si="32"/>
        <v>0</v>
      </c>
      <c r="P46" s="13">
        <f t="shared" si="33"/>
        <v>3.5</v>
      </c>
      <c r="Q46" s="13">
        <f t="shared" si="34"/>
        <v>0</v>
      </c>
      <c r="R46" s="13">
        <f t="shared" si="35"/>
        <v>0</v>
      </c>
      <c r="S46" s="13">
        <f t="shared" si="36"/>
        <v>0</v>
      </c>
      <c r="T46" s="13">
        <f t="shared" si="37"/>
        <v>0</v>
      </c>
      <c r="U46" s="13">
        <f t="shared" si="38"/>
        <v>0</v>
      </c>
      <c r="V46" s="13">
        <f t="shared" si="39"/>
        <v>19.5</v>
      </c>
      <c r="W46" s="5">
        <f t="shared" si="40"/>
        <v>1.7727272727272727</v>
      </c>
      <c r="X46" s="5">
        <f t="shared" si="41"/>
        <v>0.5641025641025641</v>
      </c>
    </row>
    <row r="47" spans="2:24">
      <c r="B47" s="5" t="s">
        <v>43</v>
      </c>
      <c r="C47" s="6">
        <f>AVERAGE(C41:C46)</f>
        <v>8.6666666666666661</v>
      </c>
      <c r="D47" s="6">
        <f>AVERAGE(D41:D46)</f>
        <v>9</v>
      </c>
      <c r="E47" s="6">
        <f>AVERAGE(E41:E46)</f>
        <v>9.5</v>
      </c>
      <c r="F47" s="6">
        <f>AVERAGE(F41:F46)</f>
        <v>8.5</v>
      </c>
      <c r="G47" s="6">
        <f>AVERAGE(G41:G46)</f>
        <v>9.1666666666666661</v>
      </c>
      <c r="L47" s="13"/>
      <c r="V47" s="5" t="s">
        <v>66</v>
      </c>
      <c r="W47" s="12">
        <f>AVERAGE(W41:W46)</f>
        <v>1.5157407407407408</v>
      </c>
      <c r="X47" s="12">
        <f>AVERAGE(X41:X46)</f>
        <v>0.66966405508072169</v>
      </c>
    </row>
    <row r="48" spans="2:24">
      <c r="B48" s="5" t="s">
        <v>42</v>
      </c>
      <c r="C48" s="9">
        <f>AVERAGE(C41:C46)</f>
        <v>8.6666666666666661</v>
      </c>
      <c r="D48" s="9">
        <f>AVERAGE(D41:D46)</f>
        <v>9</v>
      </c>
      <c r="E48" s="9">
        <f>AVERAGE(E41:E46)</f>
        <v>9.5</v>
      </c>
      <c r="F48" s="9">
        <f>AVERAGE(F41:F46)</f>
        <v>8.5</v>
      </c>
      <c r="G48" s="9">
        <f>AVERAGE(G41:G46)</f>
        <v>9.1666666666666661</v>
      </c>
      <c r="L48" s="13"/>
      <c r="V48" s="5" t="s">
        <v>65</v>
      </c>
      <c r="W48" s="12">
        <f>STDEV(W41:W46)</f>
        <v>0.20732884050207384</v>
      </c>
      <c r="X48" s="12">
        <f>STDEV(X41:X46)</f>
        <v>8.72728340368807E-2</v>
      </c>
    </row>
    <row r="49" spans="2:24">
      <c r="B49" s="5" t="s">
        <v>60</v>
      </c>
      <c r="C49" s="9">
        <f>CONFIDENCE(0.5,C48,6)</f>
        <v>2.3864471579255522</v>
      </c>
      <c r="D49" s="9">
        <f>CONFIDENCE(0.5,D48,6)</f>
        <v>2.4782335870765348</v>
      </c>
      <c r="E49" s="9">
        <f>CONFIDENCE(0.5,E48,6)</f>
        <v>2.6159132308030091</v>
      </c>
      <c r="F49" s="9">
        <f>CONFIDENCE(0.5,F48,6)</f>
        <v>2.3405539433500611</v>
      </c>
      <c r="G49" s="9">
        <f>CONFIDENCE(0.5,G48,6)</f>
        <v>2.5241268016520264</v>
      </c>
      <c r="L49" s="13"/>
      <c r="V49" s="5" t="s">
        <v>64</v>
      </c>
      <c r="W49" s="12">
        <f>CONFIDENCE(0.5,W48,6)</f>
        <v>5.7089921789097033E-2</v>
      </c>
      <c r="X49" s="12">
        <f>CONFIDENCE(0.5,X48,6)</f>
        <v>2.4031385394394887E-2</v>
      </c>
    </row>
    <row r="51" spans="2:24">
      <c r="K51" s="5" t="s">
        <v>21</v>
      </c>
      <c r="X51" s="5" t="s">
        <v>99</v>
      </c>
    </row>
    <row r="52" spans="2:24">
      <c r="C52" s="5" t="s">
        <v>59</v>
      </c>
      <c r="K52" s="5" t="s">
        <v>91</v>
      </c>
      <c r="L52" s="10" t="s">
        <v>90</v>
      </c>
      <c r="M52" s="10" t="s">
        <v>89</v>
      </c>
      <c r="N52" s="10" t="s">
        <v>88</v>
      </c>
      <c r="O52" s="10" t="s">
        <v>38</v>
      </c>
      <c r="P52" s="10" t="s">
        <v>87</v>
      </c>
      <c r="Q52" s="10" t="s">
        <v>86</v>
      </c>
      <c r="R52" s="10" t="s">
        <v>85</v>
      </c>
      <c r="S52" s="10" t="s">
        <v>84</v>
      </c>
      <c r="T52" s="5">
        <v>132</v>
      </c>
      <c r="U52" s="5">
        <v>144</v>
      </c>
      <c r="V52" s="10" t="s">
        <v>83</v>
      </c>
      <c r="W52" s="10" t="s">
        <v>100</v>
      </c>
      <c r="X52" s="10" t="s">
        <v>101</v>
      </c>
    </row>
    <row r="53" spans="2:24">
      <c r="C53" s="5" t="s">
        <v>48</v>
      </c>
      <c r="D53" s="5" t="s">
        <v>47</v>
      </c>
      <c r="E53" s="5" t="s">
        <v>46</v>
      </c>
      <c r="F53" s="5" t="s">
        <v>45</v>
      </c>
      <c r="G53" s="5" t="s">
        <v>44</v>
      </c>
      <c r="K53" s="13">
        <f>(F16-F4)*1</f>
        <v>6</v>
      </c>
      <c r="L53" s="13">
        <f>(F29-F16)*1.5</f>
        <v>0</v>
      </c>
      <c r="M53" s="13">
        <f>(F41-F29)*2</f>
        <v>8</v>
      </c>
      <c r="N53" s="13">
        <f>(F54-F41)*2.5</f>
        <v>0</v>
      </c>
      <c r="O53" s="13">
        <f>(F65-F54)*3</f>
        <v>3</v>
      </c>
      <c r="P53" s="13">
        <f>(F76-F65)*3.5</f>
        <v>0</v>
      </c>
      <c r="Q53" s="13">
        <f>(F87-F76)*4</f>
        <v>0</v>
      </c>
      <c r="R53" s="13">
        <f>(F98-F87)*4.5</f>
        <v>0</v>
      </c>
      <c r="S53" s="13">
        <f>(F111-F98)*5</f>
        <v>0</v>
      </c>
      <c r="T53" s="13">
        <f>(F131-F121)*5.5</f>
        <v>0</v>
      </c>
      <c r="U53" s="13">
        <f>(F131-F121)*6</f>
        <v>0</v>
      </c>
      <c r="V53" s="13">
        <f>SUM(K53:U53)</f>
        <v>17</v>
      </c>
      <c r="W53" s="5">
        <f>V53/F131</f>
        <v>1.5454545454545454</v>
      </c>
      <c r="X53" s="5">
        <f>1/W53</f>
        <v>0.6470588235294118</v>
      </c>
    </row>
    <row r="54" spans="2:24">
      <c r="B54" s="5">
        <v>1</v>
      </c>
      <c r="C54" s="5">
        <v>9</v>
      </c>
      <c r="D54" s="5">
        <v>10</v>
      </c>
      <c r="E54" s="5">
        <v>9</v>
      </c>
      <c r="F54" s="5">
        <v>10</v>
      </c>
      <c r="G54" s="5">
        <v>11</v>
      </c>
      <c r="K54" s="13">
        <f t="shared" ref="K54:K58" si="42">(F17-F5)*1</f>
        <v>6</v>
      </c>
      <c r="L54" s="13">
        <f t="shared" ref="L54:L58" si="43">(F30-F17)*1.5</f>
        <v>0</v>
      </c>
      <c r="M54" s="13">
        <f t="shared" ref="M54:M58" si="44">(F42-F30)*2</f>
        <v>4</v>
      </c>
      <c r="N54" s="13">
        <f t="shared" ref="N54:N58" si="45">(F55-F42)*2.5</f>
        <v>2.5</v>
      </c>
      <c r="O54" s="13">
        <f t="shared" ref="O54:O58" si="46">(F66-F55)*3</f>
        <v>0</v>
      </c>
      <c r="P54" s="13">
        <f t="shared" ref="P54:P58" si="47">(F77-F66)*3.5</f>
        <v>3.5</v>
      </c>
      <c r="Q54" s="13">
        <f t="shared" ref="Q54:Q58" si="48">(F88-F77)*4</f>
        <v>0</v>
      </c>
      <c r="R54" s="13">
        <f t="shared" ref="R54:R58" si="49">(F99-F88)*4.5</f>
        <v>4.5</v>
      </c>
      <c r="S54" s="13">
        <f t="shared" ref="S54:S58" si="50">(F112-F99)*5</f>
        <v>0</v>
      </c>
      <c r="T54" s="13">
        <f t="shared" ref="T54:T58" si="51">(F132-F122)*5.5</f>
        <v>11</v>
      </c>
      <c r="U54" s="13">
        <f t="shared" ref="U54:U58" si="52">(F132-F122)*6</f>
        <v>12</v>
      </c>
      <c r="V54" s="13">
        <f t="shared" ref="V54:V58" si="53">SUM(K54:U54)</f>
        <v>43.5</v>
      </c>
      <c r="W54" s="5">
        <f t="shared" ref="W54:W58" si="54">V54/F132</f>
        <v>3.9545454545454546</v>
      </c>
      <c r="X54" s="5">
        <f t="shared" ref="X54:X58" si="55">1/W54</f>
        <v>0.25287356321839083</v>
      </c>
    </row>
    <row r="55" spans="2:24">
      <c r="B55" s="5">
        <v>2</v>
      </c>
      <c r="C55" s="5">
        <v>10</v>
      </c>
      <c r="D55" s="5">
        <v>10</v>
      </c>
      <c r="E55" s="5">
        <v>9</v>
      </c>
      <c r="F55" s="5">
        <v>9</v>
      </c>
      <c r="G55" s="5">
        <v>9</v>
      </c>
      <c r="K55" s="13">
        <f t="shared" si="42"/>
        <v>5</v>
      </c>
      <c r="L55" s="13">
        <f t="shared" si="43"/>
        <v>0</v>
      </c>
      <c r="M55" s="13">
        <f t="shared" si="44"/>
        <v>4</v>
      </c>
      <c r="N55" s="13">
        <f t="shared" si="45"/>
        <v>5</v>
      </c>
      <c r="O55" s="13">
        <f t="shared" si="46"/>
        <v>0</v>
      </c>
      <c r="P55" s="13">
        <f t="shared" si="47"/>
        <v>0</v>
      </c>
      <c r="Q55" s="13">
        <f t="shared" si="48"/>
        <v>0</v>
      </c>
      <c r="R55" s="13">
        <f t="shared" si="49"/>
        <v>0</v>
      </c>
      <c r="S55" s="13">
        <f t="shared" si="50"/>
        <v>0</v>
      </c>
      <c r="T55" s="13">
        <f t="shared" si="51"/>
        <v>0</v>
      </c>
      <c r="U55" s="13">
        <f t="shared" si="52"/>
        <v>0</v>
      </c>
      <c r="V55" s="13">
        <f t="shared" si="53"/>
        <v>14</v>
      </c>
      <c r="W55" s="5">
        <f t="shared" si="54"/>
        <v>1.4</v>
      </c>
      <c r="X55" s="5">
        <f t="shared" si="55"/>
        <v>0.7142857142857143</v>
      </c>
    </row>
    <row r="56" spans="2:24">
      <c r="B56" s="5">
        <v>3</v>
      </c>
      <c r="C56" s="5">
        <v>10</v>
      </c>
      <c r="D56" s="5">
        <v>9</v>
      </c>
      <c r="E56" s="5">
        <v>10</v>
      </c>
      <c r="F56" s="5">
        <v>9</v>
      </c>
      <c r="G56" s="5">
        <v>9</v>
      </c>
      <c r="K56" s="13">
        <f t="shared" si="42"/>
        <v>5</v>
      </c>
      <c r="L56" s="13">
        <f t="shared" si="43"/>
        <v>0</v>
      </c>
      <c r="M56" s="13">
        <f t="shared" si="44"/>
        <v>8</v>
      </c>
      <c r="N56" s="13">
        <f t="shared" si="45"/>
        <v>5</v>
      </c>
      <c r="O56" s="13">
        <f t="shared" si="46"/>
        <v>0</v>
      </c>
      <c r="P56" s="13">
        <f t="shared" si="47"/>
        <v>0</v>
      </c>
      <c r="Q56" s="13">
        <f t="shared" si="48"/>
        <v>0</v>
      </c>
      <c r="R56" s="13">
        <f t="shared" si="49"/>
        <v>0</v>
      </c>
      <c r="S56" s="13">
        <f t="shared" si="50"/>
        <v>0</v>
      </c>
      <c r="T56" s="13">
        <f t="shared" si="51"/>
        <v>0</v>
      </c>
      <c r="U56" s="13">
        <f t="shared" si="52"/>
        <v>0</v>
      </c>
      <c r="V56" s="13">
        <f t="shared" si="53"/>
        <v>18</v>
      </c>
      <c r="W56" s="5">
        <f t="shared" si="54"/>
        <v>1.6363636363636365</v>
      </c>
      <c r="X56" s="5">
        <f t="shared" si="55"/>
        <v>0.61111111111111105</v>
      </c>
    </row>
    <row r="57" spans="2:24">
      <c r="B57" s="5">
        <v>4</v>
      </c>
      <c r="C57" s="5">
        <v>11</v>
      </c>
      <c r="D57" s="5">
        <v>8</v>
      </c>
      <c r="E57" s="5">
        <v>10</v>
      </c>
      <c r="F57" s="5">
        <v>11</v>
      </c>
      <c r="G57" s="5">
        <v>9</v>
      </c>
      <c r="K57" s="13">
        <f t="shared" si="42"/>
        <v>7</v>
      </c>
      <c r="L57" s="13">
        <f t="shared" si="43"/>
        <v>0</v>
      </c>
      <c r="M57" s="13">
        <f t="shared" si="44"/>
        <v>6</v>
      </c>
      <c r="N57" s="13">
        <f t="shared" si="45"/>
        <v>2.5</v>
      </c>
      <c r="O57" s="13">
        <f t="shared" si="46"/>
        <v>0</v>
      </c>
      <c r="P57" s="13">
        <f t="shared" si="47"/>
        <v>0</v>
      </c>
      <c r="Q57" s="13">
        <f t="shared" si="48"/>
        <v>0</v>
      </c>
      <c r="R57" s="13">
        <f t="shared" si="49"/>
        <v>0</v>
      </c>
      <c r="S57" s="13">
        <f t="shared" si="50"/>
        <v>0</v>
      </c>
      <c r="T57" s="13">
        <f t="shared" si="51"/>
        <v>0</v>
      </c>
      <c r="U57" s="13">
        <f t="shared" si="52"/>
        <v>0</v>
      </c>
      <c r="V57" s="13">
        <f t="shared" si="53"/>
        <v>15.5</v>
      </c>
      <c r="W57" s="5">
        <f t="shared" si="54"/>
        <v>1.4090909090909092</v>
      </c>
      <c r="X57" s="5">
        <f t="shared" si="55"/>
        <v>0.70967741935483863</v>
      </c>
    </row>
    <row r="58" spans="2:24">
      <c r="B58" s="5">
        <v>5</v>
      </c>
      <c r="C58" s="5">
        <v>9</v>
      </c>
      <c r="D58" s="5">
        <v>9</v>
      </c>
      <c r="E58" s="5">
        <v>10</v>
      </c>
      <c r="F58" s="5">
        <v>11</v>
      </c>
      <c r="G58" s="5">
        <v>10</v>
      </c>
      <c r="K58" s="13">
        <f t="shared" si="42"/>
        <v>6</v>
      </c>
      <c r="L58" s="13">
        <f t="shared" si="43"/>
        <v>1.5</v>
      </c>
      <c r="M58" s="13">
        <f t="shared" si="44"/>
        <v>0</v>
      </c>
      <c r="N58" s="13">
        <f t="shared" si="45"/>
        <v>5</v>
      </c>
      <c r="O58" s="13">
        <f t="shared" si="46"/>
        <v>6</v>
      </c>
      <c r="P58" s="13">
        <f t="shared" si="47"/>
        <v>0</v>
      </c>
      <c r="Q58" s="13">
        <f t="shared" si="48"/>
        <v>0</v>
      </c>
      <c r="R58" s="13">
        <f t="shared" si="49"/>
        <v>0</v>
      </c>
      <c r="S58" s="13">
        <f t="shared" si="50"/>
        <v>0</v>
      </c>
      <c r="T58" s="13">
        <f t="shared" si="51"/>
        <v>0</v>
      </c>
      <c r="U58" s="13">
        <f t="shared" si="52"/>
        <v>0</v>
      </c>
      <c r="V58" s="13">
        <f t="shared" si="53"/>
        <v>18.5</v>
      </c>
      <c r="W58" s="5">
        <f t="shared" si="54"/>
        <v>1.6818181818181819</v>
      </c>
      <c r="X58" s="5">
        <f t="shared" si="55"/>
        <v>0.59459459459459463</v>
      </c>
    </row>
    <row r="59" spans="2:24">
      <c r="B59" s="5">
        <v>6</v>
      </c>
      <c r="C59" s="5">
        <v>10</v>
      </c>
      <c r="D59" s="5">
        <v>11</v>
      </c>
      <c r="E59" s="5">
        <v>10</v>
      </c>
      <c r="F59" s="5">
        <v>9</v>
      </c>
      <c r="G59" s="5">
        <v>8</v>
      </c>
      <c r="L59" s="13"/>
      <c r="V59" s="5" t="s">
        <v>66</v>
      </c>
      <c r="W59" s="12">
        <f>AVERAGE(W53:W58)</f>
        <v>1.9378787878787878</v>
      </c>
      <c r="X59" s="12">
        <f>AVERAGE(X53:X58)</f>
        <v>0.58826687101567687</v>
      </c>
    </row>
    <row r="60" spans="2:24">
      <c r="B60" s="5" t="s">
        <v>50</v>
      </c>
      <c r="C60" s="8">
        <f>AVERAGE(C54:C59)</f>
        <v>9.8333333333333339</v>
      </c>
      <c r="D60" s="8">
        <f>AVERAGE(D54:D59)</f>
        <v>9.5</v>
      </c>
      <c r="E60" s="8">
        <f>AVERAGE(E54:E59)</f>
        <v>9.6666666666666661</v>
      </c>
      <c r="F60" s="8">
        <f>AVERAGE(F54:F59)</f>
        <v>9.8333333333333339</v>
      </c>
      <c r="G60" s="8">
        <f>AVERAGE(G54:G59)</f>
        <v>9.3333333333333339</v>
      </c>
      <c r="L60" s="13"/>
      <c r="V60" s="5" t="s">
        <v>65</v>
      </c>
      <c r="W60" s="12">
        <f>STDEV(W53:W58)</f>
        <v>0.99462051680617924</v>
      </c>
      <c r="X60" s="12">
        <f>STDEV(X53:X58)</f>
        <v>0.1715391116299404</v>
      </c>
    </row>
    <row r="61" spans="2:24">
      <c r="L61" s="13"/>
      <c r="V61" s="5" t="s">
        <v>64</v>
      </c>
      <c r="W61" s="12">
        <f>CONFIDENCE(0.5,W60,6)</f>
        <v>0.27387799679383273</v>
      </c>
      <c r="X61" s="12">
        <f>CONFIDENCE(0.5,X60,6)</f>
        <v>4.723488754873216E-2</v>
      </c>
    </row>
    <row r="62" spans="2:24">
      <c r="K62" s="5" t="s">
        <v>22</v>
      </c>
      <c r="X62" s="5" t="s">
        <v>99</v>
      </c>
    </row>
    <row r="63" spans="2:24">
      <c r="C63" s="5" t="s">
        <v>58</v>
      </c>
      <c r="K63" s="5" t="s">
        <v>91</v>
      </c>
      <c r="L63" s="10" t="s">
        <v>90</v>
      </c>
      <c r="M63" s="10" t="s">
        <v>89</v>
      </c>
      <c r="N63" s="10" t="s">
        <v>88</v>
      </c>
      <c r="O63" s="10" t="s">
        <v>38</v>
      </c>
      <c r="P63" s="10" t="s">
        <v>87</v>
      </c>
      <c r="Q63" s="10" t="s">
        <v>86</v>
      </c>
      <c r="R63" s="10" t="s">
        <v>85</v>
      </c>
      <c r="S63" s="10" t="s">
        <v>84</v>
      </c>
      <c r="T63" s="5">
        <v>132</v>
      </c>
      <c r="U63" s="5">
        <v>144</v>
      </c>
      <c r="V63" s="10" t="s">
        <v>83</v>
      </c>
      <c r="W63" s="10" t="s">
        <v>100</v>
      </c>
      <c r="X63" s="10" t="s">
        <v>101</v>
      </c>
    </row>
    <row r="64" spans="2:24">
      <c r="C64" s="5" t="s">
        <v>48</v>
      </c>
      <c r="D64" s="5" t="s">
        <v>47</v>
      </c>
      <c r="E64" s="5" t="s">
        <v>46</v>
      </c>
      <c r="F64" s="5" t="s">
        <v>45</v>
      </c>
      <c r="G64" s="5" t="s">
        <v>44</v>
      </c>
      <c r="K64" s="13">
        <f>(G16-G4)*1</f>
        <v>7</v>
      </c>
      <c r="L64" s="13">
        <f>(G29-G16)*1.5</f>
        <v>0</v>
      </c>
      <c r="M64" s="13">
        <f>(G41-G29)*2</f>
        <v>8</v>
      </c>
      <c r="N64" s="13">
        <f>(G54-G41)*2.5</f>
        <v>0</v>
      </c>
      <c r="O64" s="13">
        <f>(G65-G54)*3</f>
        <v>0</v>
      </c>
      <c r="P64" s="13">
        <f>(G76-G65)*3.5</f>
        <v>0</v>
      </c>
      <c r="Q64" s="13">
        <f>(G87-G76)*4</f>
        <v>0</v>
      </c>
      <c r="R64" s="13">
        <f>(G98-G87)*4.5</f>
        <v>0</v>
      </c>
      <c r="S64" s="13">
        <f>(G111-G98)*5</f>
        <v>0</v>
      </c>
      <c r="T64" s="13">
        <f>(G131-G121)*5.5</f>
        <v>0</v>
      </c>
      <c r="U64" s="13">
        <f>(G131-G121)*6</f>
        <v>0</v>
      </c>
      <c r="V64" s="13">
        <f>SUM(K64:U64)</f>
        <v>15</v>
      </c>
      <c r="W64" s="5">
        <f>V64/G131</f>
        <v>1.3636363636363635</v>
      </c>
      <c r="X64" s="5">
        <f>1/W64</f>
        <v>0.73333333333333339</v>
      </c>
    </row>
    <row r="65" spans="2:24">
      <c r="B65" s="5">
        <v>1</v>
      </c>
      <c r="C65" s="5">
        <v>9</v>
      </c>
      <c r="D65" s="5">
        <v>10</v>
      </c>
      <c r="E65" s="5">
        <v>9</v>
      </c>
      <c r="F65" s="5">
        <v>11</v>
      </c>
      <c r="G65" s="5">
        <v>11</v>
      </c>
      <c r="K65" s="13">
        <f t="shared" ref="K65:K69" si="56">(G17-G5)*1</f>
        <v>4</v>
      </c>
      <c r="L65" s="13">
        <f t="shared" ref="L65:L69" si="57">(G30-G17)*1.5</f>
        <v>0</v>
      </c>
      <c r="M65" s="13">
        <f t="shared" ref="M65:M69" si="58">(G42-G30)*2</f>
        <v>8</v>
      </c>
      <c r="N65" s="13">
        <f t="shared" ref="N65:N69" si="59">(G55-G42)*2.5</f>
        <v>2.5</v>
      </c>
      <c r="O65" s="13">
        <f t="shared" ref="O65:O69" si="60">(G66-G55)*3</f>
        <v>0</v>
      </c>
      <c r="P65" s="13">
        <f t="shared" ref="P65:P69" si="61">(G77-G66)*3.5</f>
        <v>0</v>
      </c>
      <c r="Q65" s="13">
        <f t="shared" ref="Q65:Q69" si="62">(G88-G77)*4</f>
        <v>4</v>
      </c>
      <c r="R65" s="13">
        <f t="shared" ref="R65:R69" si="63">(G99-G88)*4.5</f>
        <v>0</v>
      </c>
      <c r="S65" s="13">
        <f t="shared" ref="S65:S69" si="64">(G112-G99)*5</f>
        <v>0</v>
      </c>
      <c r="T65" s="13">
        <f t="shared" ref="T65:T69" si="65">(G132-G122)*5.5</f>
        <v>0</v>
      </c>
      <c r="U65" s="13">
        <f t="shared" ref="U65:U69" si="66">(G132-G122)*6</f>
        <v>0</v>
      </c>
      <c r="V65" s="13">
        <f t="shared" ref="V65:V69" si="67">SUM(K65:U65)</f>
        <v>18.5</v>
      </c>
      <c r="W65" s="5">
        <f t="shared" ref="W65:W69" si="68">V65/G132</f>
        <v>1.85</v>
      </c>
      <c r="X65" s="5">
        <f t="shared" ref="X65:X69" si="69">1/W65</f>
        <v>0.54054054054054046</v>
      </c>
    </row>
    <row r="66" spans="2:24">
      <c r="B66" s="5">
        <v>2</v>
      </c>
      <c r="C66" s="5">
        <v>10</v>
      </c>
      <c r="D66" s="5">
        <v>10</v>
      </c>
      <c r="E66" s="5">
        <v>9</v>
      </c>
      <c r="F66" s="5">
        <v>9</v>
      </c>
      <c r="G66" s="5">
        <v>9</v>
      </c>
      <c r="K66" s="13">
        <f t="shared" si="56"/>
        <v>8</v>
      </c>
      <c r="L66" s="13">
        <f t="shared" si="57"/>
        <v>0</v>
      </c>
      <c r="M66" s="13">
        <f t="shared" si="58"/>
        <v>2</v>
      </c>
      <c r="N66" s="13">
        <f t="shared" si="59"/>
        <v>0</v>
      </c>
      <c r="O66" s="13">
        <f t="shared" si="60"/>
        <v>0</v>
      </c>
      <c r="P66" s="13">
        <f t="shared" si="61"/>
        <v>0</v>
      </c>
      <c r="Q66" s="13">
        <f t="shared" si="62"/>
        <v>4</v>
      </c>
      <c r="R66" s="13">
        <f t="shared" si="63"/>
        <v>0</v>
      </c>
      <c r="S66" s="13">
        <f t="shared" si="64"/>
        <v>0</v>
      </c>
      <c r="T66" s="13">
        <f t="shared" si="65"/>
        <v>0</v>
      </c>
      <c r="U66" s="13">
        <f t="shared" si="66"/>
        <v>0</v>
      </c>
      <c r="V66" s="13">
        <f t="shared" si="67"/>
        <v>14</v>
      </c>
      <c r="W66" s="5">
        <f t="shared" si="68"/>
        <v>1.4</v>
      </c>
      <c r="X66" s="5">
        <f t="shared" si="69"/>
        <v>0.7142857142857143</v>
      </c>
    </row>
    <row r="67" spans="2:24">
      <c r="B67" s="5">
        <v>3</v>
      </c>
      <c r="C67" s="5">
        <v>10</v>
      </c>
      <c r="D67" s="5">
        <v>11</v>
      </c>
      <c r="E67" s="5">
        <v>10</v>
      </c>
      <c r="F67" s="5">
        <v>9</v>
      </c>
      <c r="G67" s="5">
        <v>9</v>
      </c>
      <c r="K67" s="13">
        <f t="shared" si="56"/>
        <v>7</v>
      </c>
      <c r="L67" s="13">
        <f t="shared" si="57"/>
        <v>0</v>
      </c>
      <c r="M67" s="13">
        <f t="shared" si="58"/>
        <v>4</v>
      </c>
      <c r="N67" s="13">
        <f t="shared" si="59"/>
        <v>0</v>
      </c>
      <c r="O67" s="13">
        <f t="shared" si="60"/>
        <v>0</v>
      </c>
      <c r="P67" s="13">
        <f t="shared" si="61"/>
        <v>0</v>
      </c>
      <c r="Q67" s="13">
        <f t="shared" si="62"/>
        <v>0</v>
      </c>
      <c r="R67" s="13">
        <f t="shared" si="63"/>
        <v>0</v>
      </c>
      <c r="S67" s="13">
        <f t="shared" si="64"/>
        <v>0</v>
      </c>
      <c r="T67" s="13">
        <f t="shared" si="65"/>
        <v>0</v>
      </c>
      <c r="U67" s="13">
        <f t="shared" si="66"/>
        <v>0</v>
      </c>
      <c r="V67" s="13">
        <f t="shared" si="67"/>
        <v>11</v>
      </c>
      <c r="W67" s="5">
        <f t="shared" si="68"/>
        <v>1.2222222222222223</v>
      </c>
      <c r="X67" s="5">
        <f t="shared" si="69"/>
        <v>0.81818181818181812</v>
      </c>
    </row>
    <row r="68" spans="2:24">
      <c r="B68" s="5">
        <v>4</v>
      </c>
      <c r="C68" s="5">
        <v>11</v>
      </c>
      <c r="D68" s="5">
        <v>9</v>
      </c>
      <c r="E68" s="5">
        <v>10</v>
      </c>
      <c r="F68" s="5">
        <v>11</v>
      </c>
      <c r="G68" s="5">
        <v>9</v>
      </c>
      <c r="K68" s="13">
        <f t="shared" si="56"/>
        <v>8</v>
      </c>
      <c r="L68" s="13">
        <f t="shared" si="57"/>
        <v>0</v>
      </c>
      <c r="M68" s="13">
        <f t="shared" si="58"/>
        <v>4</v>
      </c>
      <c r="N68" s="13">
        <f t="shared" si="59"/>
        <v>0</v>
      </c>
      <c r="O68" s="13">
        <f t="shared" si="60"/>
        <v>0</v>
      </c>
      <c r="P68" s="13">
        <f t="shared" si="61"/>
        <v>0</v>
      </c>
      <c r="Q68" s="13">
        <f t="shared" si="62"/>
        <v>0</v>
      </c>
      <c r="R68" s="13">
        <f t="shared" si="63"/>
        <v>0</v>
      </c>
      <c r="S68" s="13">
        <f t="shared" si="64"/>
        <v>0</v>
      </c>
      <c r="T68" s="13">
        <f t="shared" si="65"/>
        <v>0</v>
      </c>
      <c r="U68" s="13">
        <f t="shared" si="66"/>
        <v>0</v>
      </c>
      <c r="V68" s="13">
        <f t="shared" si="67"/>
        <v>12</v>
      </c>
      <c r="W68" s="5">
        <f t="shared" si="68"/>
        <v>1.2</v>
      </c>
      <c r="X68" s="5">
        <f t="shared" si="69"/>
        <v>0.83333333333333337</v>
      </c>
    </row>
    <row r="69" spans="2:24">
      <c r="B69" s="5">
        <v>5</v>
      </c>
      <c r="C69" s="5">
        <v>10</v>
      </c>
      <c r="D69" s="5">
        <v>9</v>
      </c>
      <c r="E69" s="5">
        <v>10</v>
      </c>
      <c r="F69" s="5">
        <v>11</v>
      </c>
      <c r="G69" s="5">
        <v>10</v>
      </c>
      <c r="K69" s="13">
        <f t="shared" si="56"/>
        <v>5</v>
      </c>
      <c r="L69" s="13">
        <f t="shared" si="57"/>
        <v>0</v>
      </c>
      <c r="M69" s="13">
        <f t="shared" si="58"/>
        <v>6</v>
      </c>
      <c r="N69" s="13">
        <f t="shared" si="59"/>
        <v>0</v>
      </c>
      <c r="O69" s="13">
        <f t="shared" si="60"/>
        <v>3</v>
      </c>
      <c r="P69" s="13">
        <f t="shared" si="61"/>
        <v>0</v>
      </c>
      <c r="Q69" s="13">
        <f t="shared" si="62"/>
        <v>0</v>
      </c>
      <c r="R69" s="13">
        <f t="shared" si="63"/>
        <v>4.5</v>
      </c>
      <c r="S69" s="13">
        <f t="shared" si="64"/>
        <v>0</v>
      </c>
      <c r="T69" s="13">
        <f t="shared" si="65"/>
        <v>0</v>
      </c>
      <c r="U69" s="13">
        <f t="shared" si="66"/>
        <v>0</v>
      </c>
      <c r="V69" s="13">
        <f t="shared" si="67"/>
        <v>18.5</v>
      </c>
      <c r="W69" s="5">
        <f t="shared" si="68"/>
        <v>1.85</v>
      </c>
      <c r="X69" s="5">
        <f t="shared" si="69"/>
        <v>0.54054054054054046</v>
      </c>
    </row>
    <row r="70" spans="2:24">
      <c r="B70" s="5">
        <v>6</v>
      </c>
      <c r="C70" s="5">
        <v>10</v>
      </c>
      <c r="D70" s="5">
        <v>11</v>
      </c>
      <c r="E70" s="5">
        <v>10</v>
      </c>
      <c r="F70" s="5">
        <v>11</v>
      </c>
      <c r="G70" s="5">
        <v>9</v>
      </c>
      <c r="L70" s="13"/>
      <c r="V70" s="5" t="s">
        <v>66</v>
      </c>
      <c r="W70" s="12">
        <f>AVERAGE(W64:W69)</f>
        <v>1.4809764309764308</v>
      </c>
      <c r="X70" s="12">
        <f>AVERAGE(X64:X69)</f>
        <v>0.69670254670254683</v>
      </c>
    </row>
    <row r="71" spans="2:24">
      <c r="B71" s="5" t="s">
        <v>50</v>
      </c>
      <c r="C71" s="5">
        <f>AVERAGE(C65:C70)</f>
        <v>10</v>
      </c>
      <c r="D71" s="5">
        <f>AVERAGE(D65:D70)</f>
        <v>10</v>
      </c>
      <c r="E71" s="8">
        <f>AVERAGE(E65:E70)</f>
        <v>9.6666666666666661</v>
      </c>
      <c r="F71" s="8">
        <f>AVERAGE(F65:F70)</f>
        <v>10.333333333333334</v>
      </c>
      <c r="G71" s="8">
        <f>AVERAGE(G65:G70)</f>
        <v>9.5</v>
      </c>
      <c r="L71" s="13"/>
      <c r="V71" s="5" t="s">
        <v>65</v>
      </c>
      <c r="W71" s="12">
        <f>STDEV(W64:W69)</f>
        <v>0.29617027469991231</v>
      </c>
      <c r="X71" s="12">
        <f>STDEV(X64:X69)</f>
        <v>0.12949850339136307</v>
      </c>
    </row>
    <row r="72" spans="2:24">
      <c r="L72" s="13"/>
      <c r="V72" s="5" t="s">
        <v>64</v>
      </c>
      <c r="W72" s="12">
        <f>CONFIDENCE(0.5,W71,6)</f>
        <v>8.1553235806111832E-2</v>
      </c>
      <c r="X72" s="12">
        <f>CONFIDENCE(0.5,X71,6)</f>
        <v>3.5658615620068952E-2</v>
      </c>
    </row>
    <row r="74" spans="2:24">
      <c r="C74" s="5" t="s">
        <v>57</v>
      </c>
    </row>
    <row r="75" spans="2:24">
      <c r="C75" s="5" t="s">
        <v>48</v>
      </c>
      <c r="D75" s="5" t="s">
        <v>47</v>
      </c>
      <c r="E75" s="5" t="s">
        <v>46</v>
      </c>
      <c r="F75" s="5" t="s">
        <v>45</v>
      </c>
      <c r="G75" s="5" t="s">
        <v>44</v>
      </c>
    </row>
    <row r="76" spans="2:24">
      <c r="B76" s="5">
        <v>1</v>
      </c>
      <c r="C76" s="5">
        <v>9</v>
      </c>
      <c r="D76" s="5">
        <v>10</v>
      </c>
      <c r="E76" s="5">
        <v>10</v>
      </c>
      <c r="F76" s="5">
        <v>11</v>
      </c>
      <c r="G76" s="5">
        <v>11</v>
      </c>
    </row>
    <row r="77" spans="2:24">
      <c r="B77" s="5">
        <v>2</v>
      </c>
      <c r="C77" s="5">
        <v>10</v>
      </c>
      <c r="D77" s="5">
        <v>11</v>
      </c>
      <c r="E77" s="5">
        <v>9</v>
      </c>
      <c r="F77" s="5">
        <v>10</v>
      </c>
      <c r="G77" s="5">
        <v>9</v>
      </c>
    </row>
    <row r="78" spans="2:24">
      <c r="B78" s="5">
        <v>3</v>
      </c>
      <c r="C78" s="5">
        <v>11</v>
      </c>
      <c r="D78" s="5">
        <v>12</v>
      </c>
      <c r="E78" s="5">
        <v>10</v>
      </c>
      <c r="F78" s="5">
        <v>9</v>
      </c>
      <c r="G78" s="5">
        <v>9</v>
      </c>
    </row>
    <row r="79" spans="2:24">
      <c r="B79" s="5">
        <v>4</v>
      </c>
      <c r="C79" s="5">
        <v>11</v>
      </c>
      <c r="D79" s="5">
        <v>10</v>
      </c>
      <c r="E79" s="5">
        <v>10</v>
      </c>
      <c r="F79" s="5">
        <v>11</v>
      </c>
      <c r="G79" s="5">
        <v>9</v>
      </c>
    </row>
    <row r="80" spans="2:24">
      <c r="B80" s="5">
        <v>5</v>
      </c>
      <c r="C80" s="5">
        <v>10</v>
      </c>
      <c r="D80" s="5">
        <v>10</v>
      </c>
      <c r="E80" s="5">
        <v>10</v>
      </c>
      <c r="F80" s="5">
        <v>11</v>
      </c>
      <c r="G80" s="5">
        <v>10</v>
      </c>
    </row>
    <row r="81" spans="2:7">
      <c r="B81" s="5">
        <v>6</v>
      </c>
      <c r="C81" s="5">
        <v>10</v>
      </c>
      <c r="D81" s="5">
        <v>11</v>
      </c>
      <c r="E81" s="5">
        <v>11</v>
      </c>
      <c r="F81" s="5">
        <v>11</v>
      </c>
      <c r="G81" s="5">
        <v>9</v>
      </c>
    </row>
    <row r="82" spans="2:7">
      <c r="B82" s="5" t="s">
        <v>50</v>
      </c>
      <c r="C82" s="8">
        <f>AVERAGE(C76:C81)</f>
        <v>10.166666666666666</v>
      </c>
      <c r="D82" s="8">
        <f>AVERAGE(D76:D81)</f>
        <v>10.666666666666666</v>
      </c>
      <c r="E82" s="8">
        <f>AVERAGE(E76:E81)</f>
        <v>10</v>
      </c>
      <c r="F82" s="8">
        <f>AVERAGE(F76:F81)</f>
        <v>10.5</v>
      </c>
      <c r="G82" s="8">
        <f>AVERAGE(G76:G81)</f>
        <v>9.5</v>
      </c>
    </row>
    <row r="85" spans="2:7">
      <c r="C85" s="5" t="s">
        <v>56</v>
      </c>
    </row>
    <row r="86" spans="2:7">
      <c r="C86" s="5" t="s">
        <v>53</v>
      </c>
      <c r="D86" s="5" t="s">
        <v>47</v>
      </c>
      <c r="E86" s="5" t="s">
        <v>46</v>
      </c>
      <c r="F86" s="5" t="s">
        <v>45</v>
      </c>
      <c r="G86" s="5" t="s">
        <v>44</v>
      </c>
    </row>
    <row r="87" spans="2:7">
      <c r="B87" s="5">
        <v>1</v>
      </c>
      <c r="C87" s="5">
        <v>9</v>
      </c>
      <c r="D87" s="5">
        <v>10</v>
      </c>
      <c r="E87" s="5">
        <v>11</v>
      </c>
      <c r="F87" s="5">
        <v>11</v>
      </c>
      <c r="G87" s="5">
        <v>11</v>
      </c>
    </row>
    <row r="88" spans="2:7">
      <c r="B88" s="5">
        <v>2</v>
      </c>
      <c r="C88" s="5">
        <v>10</v>
      </c>
      <c r="D88" s="5">
        <v>11</v>
      </c>
      <c r="E88" s="5">
        <v>9</v>
      </c>
      <c r="F88" s="5">
        <v>10</v>
      </c>
      <c r="G88" s="5">
        <v>10</v>
      </c>
    </row>
    <row r="89" spans="2:7">
      <c r="B89" s="5">
        <v>3</v>
      </c>
      <c r="C89" s="5">
        <v>12</v>
      </c>
      <c r="D89" s="5">
        <v>12</v>
      </c>
      <c r="E89" s="5">
        <v>10</v>
      </c>
      <c r="F89" s="5">
        <v>9</v>
      </c>
      <c r="G89" s="5">
        <v>10</v>
      </c>
    </row>
    <row r="90" spans="2:7">
      <c r="B90" s="5">
        <v>4</v>
      </c>
      <c r="C90" s="5">
        <v>11</v>
      </c>
      <c r="D90" s="5">
        <v>10</v>
      </c>
      <c r="E90" s="5">
        <v>10</v>
      </c>
      <c r="F90" s="5">
        <v>11</v>
      </c>
      <c r="G90" s="5">
        <v>9</v>
      </c>
    </row>
    <row r="91" spans="2:7">
      <c r="B91" s="5">
        <v>5</v>
      </c>
      <c r="C91" s="5">
        <v>11</v>
      </c>
      <c r="D91" s="5">
        <v>10</v>
      </c>
      <c r="E91" s="5">
        <v>11</v>
      </c>
      <c r="F91" s="5">
        <v>11</v>
      </c>
      <c r="G91" s="5">
        <v>10</v>
      </c>
    </row>
    <row r="92" spans="2:7">
      <c r="B92" s="5">
        <v>6</v>
      </c>
      <c r="C92" s="5">
        <v>11</v>
      </c>
      <c r="D92" s="5">
        <v>11</v>
      </c>
      <c r="E92" s="5">
        <v>11</v>
      </c>
      <c r="F92" s="5">
        <v>11</v>
      </c>
      <c r="G92" s="5">
        <v>9</v>
      </c>
    </row>
    <row r="93" spans="2:7">
      <c r="B93" s="5" t="s">
        <v>50</v>
      </c>
      <c r="C93" s="8">
        <f>AVERAGE(C87:C92)</f>
        <v>10.666666666666666</v>
      </c>
      <c r="D93" s="8">
        <f>AVERAGE(D87:D92)</f>
        <v>10.666666666666666</v>
      </c>
      <c r="E93" s="8">
        <f>AVERAGE(E87:E92)</f>
        <v>10.333333333333334</v>
      </c>
      <c r="F93" s="8">
        <f>AVERAGE(F87:F92)</f>
        <v>10.5</v>
      </c>
      <c r="G93" s="8">
        <f>AVERAGE(G87:G92)</f>
        <v>9.8333333333333339</v>
      </c>
    </row>
    <row r="94" spans="2:7">
      <c r="B94" s="5" t="s">
        <v>42</v>
      </c>
      <c r="C94" s="6">
        <f>STDEV(C87:C92)</f>
        <v>1.0327955589886482</v>
      </c>
      <c r="D94" s="6">
        <f>STDEV(D87:D92)</f>
        <v>0.8164965809277307</v>
      </c>
      <c r="E94" s="6">
        <f>STDEV(E87:E92)</f>
        <v>0.8164965809277307</v>
      </c>
      <c r="F94" s="6">
        <f>STDEV(F87:F92)</f>
        <v>0.83666002653407556</v>
      </c>
      <c r="G94" s="6">
        <f>STDEV(G87:G92)</f>
        <v>0.752772652709086</v>
      </c>
    </row>
    <row r="95" spans="2:7">
      <c r="B95" s="5" t="s">
        <v>55</v>
      </c>
      <c r="C95" s="6">
        <f>CONFIDENCE(0.5,C94,6)</f>
        <v>0.28438984920768368</v>
      </c>
      <c r="D95" s="6">
        <f>CONFIDENCE(0.5,D94,6)</f>
        <v>0.22482991673202848</v>
      </c>
      <c r="E95" s="6">
        <f>CONFIDENCE(0.5,E94,6)</f>
        <v>0.22482991673202848</v>
      </c>
      <c r="F95" s="6">
        <f>CONFIDENCE(0.5,F94,6)</f>
        <v>0.23038210874678791</v>
      </c>
      <c r="G95" s="6">
        <f>CONFIDENCE(0.5,G94,6)</f>
        <v>0.20728294126403968</v>
      </c>
    </row>
    <row r="96" spans="2:7">
      <c r="C96" s="5" t="s">
        <v>54</v>
      </c>
    </row>
    <row r="97" spans="2:7">
      <c r="C97" s="5" t="s">
        <v>53</v>
      </c>
      <c r="D97" s="5" t="s">
        <v>47</v>
      </c>
      <c r="E97" s="5" t="s">
        <v>46</v>
      </c>
      <c r="F97" s="5" t="s">
        <v>45</v>
      </c>
      <c r="G97" s="5" t="s">
        <v>44</v>
      </c>
    </row>
    <row r="98" spans="2:7">
      <c r="B98" s="5">
        <v>1</v>
      </c>
      <c r="C98" s="5">
        <v>9</v>
      </c>
      <c r="D98" s="5">
        <v>10</v>
      </c>
      <c r="E98" s="5">
        <v>11</v>
      </c>
      <c r="F98" s="5">
        <v>11</v>
      </c>
      <c r="G98" s="5">
        <v>11</v>
      </c>
    </row>
    <row r="99" spans="2:7">
      <c r="B99" s="5">
        <v>2</v>
      </c>
      <c r="C99" s="5">
        <v>10</v>
      </c>
      <c r="D99" s="5">
        <v>11</v>
      </c>
      <c r="E99" s="5">
        <v>9</v>
      </c>
      <c r="F99" s="5">
        <v>11</v>
      </c>
      <c r="G99" s="5">
        <v>10</v>
      </c>
    </row>
    <row r="100" spans="2:7">
      <c r="B100" s="5">
        <v>3</v>
      </c>
      <c r="C100" s="5">
        <v>12</v>
      </c>
      <c r="D100" s="5">
        <v>12</v>
      </c>
      <c r="E100" s="5">
        <v>10</v>
      </c>
      <c r="F100" s="5">
        <v>9</v>
      </c>
      <c r="G100" s="5">
        <v>10</v>
      </c>
    </row>
    <row r="101" spans="2:7">
      <c r="B101" s="5">
        <v>4</v>
      </c>
      <c r="C101" s="5">
        <v>11</v>
      </c>
      <c r="D101" s="5">
        <v>10</v>
      </c>
      <c r="E101" s="5">
        <v>10</v>
      </c>
      <c r="F101" s="5">
        <v>11</v>
      </c>
      <c r="G101" s="5">
        <v>9</v>
      </c>
    </row>
    <row r="102" spans="2:7">
      <c r="B102" s="5">
        <v>5</v>
      </c>
      <c r="C102" s="5">
        <v>11</v>
      </c>
      <c r="D102" s="5">
        <v>10</v>
      </c>
      <c r="E102" s="5">
        <v>11</v>
      </c>
      <c r="F102" s="5">
        <v>11</v>
      </c>
      <c r="G102" s="5">
        <v>10</v>
      </c>
    </row>
    <row r="103" spans="2:7">
      <c r="B103" s="5">
        <v>6</v>
      </c>
      <c r="C103" s="5">
        <v>11</v>
      </c>
      <c r="D103" s="5">
        <v>11</v>
      </c>
      <c r="E103" s="5">
        <v>11</v>
      </c>
      <c r="F103" s="5">
        <v>11</v>
      </c>
      <c r="G103" s="5">
        <v>10</v>
      </c>
    </row>
    <row r="104" spans="2:7">
      <c r="B104" s="5" t="s">
        <v>43</v>
      </c>
      <c r="C104" s="8">
        <f>AVERAGE(C98:C103)</f>
        <v>10.666666666666666</v>
      </c>
      <c r="D104" s="8">
        <f>AVERAGE(D98:D103)</f>
        <v>10.666666666666666</v>
      </c>
      <c r="E104" s="8">
        <f>AVERAGE(E98:E103)</f>
        <v>10.333333333333334</v>
      </c>
      <c r="F104" s="8">
        <f>AVERAGE(F98:F103)</f>
        <v>10.666666666666666</v>
      </c>
      <c r="G104" s="8">
        <f>AVERAGE(G98:G103)</f>
        <v>10</v>
      </c>
    </row>
    <row r="109" spans="2:7">
      <c r="C109" s="5" t="s">
        <v>52</v>
      </c>
    </row>
    <row r="110" spans="2:7">
      <c r="C110" s="5" t="s">
        <v>48</v>
      </c>
      <c r="D110" s="5" t="s">
        <v>47</v>
      </c>
      <c r="E110" s="5" t="s">
        <v>46</v>
      </c>
      <c r="F110" s="5" t="s">
        <v>45</v>
      </c>
      <c r="G110" s="5" t="s">
        <v>44</v>
      </c>
    </row>
    <row r="111" spans="2:7">
      <c r="B111" s="5">
        <v>1</v>
      </c>
      <c r="C111" s="5">
        <v>9</v>
      </c>
      <c r="D111" s="5">
        <v>10</v>
      </c>
      <c r="E111" s="5">
        <v>11</v>
      </c>
      <c r="F111" s="5">
        <v>11</v>
      </c>
      <c r="G111" s="5">
        <v>11</v>
      </c>
    </row>
    <row r="112" spans="2:7">
      <c r="B112" s="5">
        <v>2</v>
      </c>
      <c r="C112" s="5">
        <v>10</v>
      </c>
      <c r="D112" s="5">
        <v>11</v>
      </c>
      <c r="E112" s="5">
        <v>9</v>
      </c>
      <c r="F112" s="5">
        <v>11</v>
      </c>
      <c r="G112" s="5">
        <v>10</v>
      </c>
    </row>
    <row r="113" spans="2:7">
      <c r="B113" s="5">
        <v>3</v>
      </c>
      <c r="C113" s="5">
        <v>12</v>
      </c>
      <c r="D113" s="5">
        <v>12</v>
      </c>
      <c r="E113" s="5">
        <v>10</v>
      </c>
      <c r="F113" s="5">
        <v>9</v>
      </c>
      <c r="G113" s="5">
        <v>10</v>
      </c>
    </row>
    <row r="114" spans="2:7">
      <c r="B114" s="5">
        <v>4</v>
      </c>
      <c r="C114" s="5">
        <v>11</v>
      </c>
      <c r="D114" s="5">
        <v>10</v>
      </c>
      <c r="E114" s="5">
        <v>10</v>
      </c>
      <c r="F114" s="5">
        <v>11</v>
      </c>
      <c r="G114" s="5">
        <v>9</v>
      </c>
    </row>
    <row r="115" spans="2:7">
      <c r="B115" s="5">
        <v>5</v>
      </c>
      <c r="C115" s="5">
        <v>11</v>
      </c>
      <c r="D115" s="5">
        <v>10</v>
      </c>
      <c r="E115" s="5">
        <v>11</v>
      </c>
      <c r="F115" s="5">
        <v>11</v>
      </c>
      <c r="G115" s="5">
        <v>10</v>
      </c>
    </row>
    <row r="116" spans="2:7">
      <c r="B116" s="5">
        <v>6</v>
      </c>
      <c r="C116" s="5">
        <v>11</v>
      </c>
      <c r="D116" s="5">
        <v>11</v>
      </c>
      <c r="E116" s="5">
        <v>11</v>
      </c>
      <c r="F116" s="5">
        <v>11</v>
      </c>
      <c r="G116" s="5">
        <v>10</v>
      </c>
    </row>
    <row r="117" spans="2:7">
      <c r="B117" s="5" t="s">
        <v>50</v>
      </c>
      <c r="C117" s="8">
        <f>AVERAGE(C111:C116)</f>
        <v>10.666666666666666</v>
      </c>
      <c r="D117" s="8">
        <f>AVERAGE(D111:D116)</f>
        <v>10.666666666666666</v>
      </c>
      <c r="E117" s="8">
        <f>AVERAGE(E111:E116)</f>
        <v>10.333333333333334</v>
      </c>
      <c r="F117" s="8">
        <f>AVERAGE(F111:F116)</f>
        <v>10.666666666666666</v>
      </c>
      <c r="G117" s="8">
        <f>AVERAGE(G111:G116)</f>
        <v>10</v>
      </c>
    </row>
    <row r="119" spans="2:7">
      <c r="C119" s="5" t="s">
        <v>51</v>
      </c>
    </row>
    <row r="120" spans="2:7">
      <c r="C120" s="5" t="s">
        <v>48</v>
      </c>
      <c r="D120" s="5" t="s">
        <v>47</v>
      </c>
      <c r="E120" s="5" t="s">
        <v>46</v>
      </c>
      <c r="F120" s="5" t="s">
        <v>45</v>
      </c>
      <c r="G120" s="5" t="s">
        <v>44</v>
      </c>
    </row>
    <row r="121" spans="2:7">
      <c r="B121" s="5">
        <v>1</v>
      </c>
      <c r="C121" s="5">
        <v>9</v>
      </c>
      <c r="D121" s="5">
        <v>10</v>
      </c>
      <c r="E121" s="5">
        <v>11</v>
      </c>
      <c r="F121" s="5">
        <v>11</v>
      </c>
      <c r="G121" s="5">
        <v>11</v>
      </c>
    </row>
    <row r="122" spans="2:7">
      <c r="B122" s="5">
        <v>2</v>
      </c>
      <c r="C122" s="5">
        <v>10</v>
      </c>
      <c r="D122" s="5">
        <v>11</v>
      </c>
      <c r="E122" s="5">
        <v>9</v>
      </c>
      <c r="F122" s="5">
        <v>9</v>
      </c>
      <c r="G122" s="5">
        <v>10</v>
      </c>
    </row>
    <row r="123" spans="2:7">
      <c r="B123" s="5">
        <v>3</v>
      </c>
      <c r="C123" s="5">
        <v>12</v>
      </c>
      <c r="D123" s="5">
        <v>12</v>
      </c>
      <c r="E123" s="5">
        <v>10</v>
      </c>
      <c r="F123" s="5">
        <v>10</v>
      </c>
      <c r="G123" s="5">
        <v>10</v>
      </c>
    </row>
    <row r="124" spans="2:7">
      <c r="B124" s="5">
        <v>4</v>
      </c>
      <c r="C124" s="5">
        <v>11</v>
      </c>
      <c r="D124" s="5">
        <v>10</v>
      </c>
      <c r="E124" s="5">
        <v>10</v>
      </c>
      <c r="F124" s="5">
        <v>11</v>
      </c>
      <c r="G124" s="5">
        <v>9</v>
      </c>
    </row>
    <row r="125" spans="2:7">
      <c r="B125" s="5">
        <v>5</v>
      </c>
      <c r="C125" s="5">
        <v>11</v>
      </c>
      <c r="D125" s="5">
        <v>10</v>
      </c>
      <c r="E125" s="5">
        <v>11</v>
      </c>
      <c r="F125" s="5">
        <v>11</v>
      </c>
      <c r="G125" s="5">
        <v>10</v>
      </c>
    </row>
    <row r="126" spans="2:7">
      <c r="B126" s="5">
        <v>6</v>
      </c>
      <c r="C126" s="5">
        <v>11</v>
      </c>
      <c r="D126" s="5">
        <v>11</v>
      </c>
      <c r="E126" s="5">
        <v>11</v>
      </c>
      <c r="F126" s="5">
        <v>11</v>
      </c>
      <c r="G126" s="5">
        <v>10</v>
      </c>
    </row>
    <row r="127" spans="2:7">
      <c r="B127" s="5" t="s">
        <v>50</v>
      </c>
      <c r="C127" s="8">
        <f>AVERAGE(C121:C126)</f>
        <v>10.666666666666666</v>
      </c>
      <c r="D127" s="8">
        <f>AVERAGE(D121:D126)</f>
        <v>10.666666666666666</v>
      </c>
      <c r="E127" s="8">
        <f>AVERAGE(E121:E126)</f>
        <v>10.333333333333334</v>
      </c>
      <c r="F127" s="8">
        <f>AVERAGE(F121:F126)</f>
        <v>10.5</v>
      </c>
      <c r="G127" s="5">
        <f>AVERAGE(G121:G126)</f>
        <v>10</v>
      </c>
    </row>
    <row r="129" spans="2:7">
      <c r="C129" s="5" t="s">
        <v>49</v>
      </c>
    </row>
    <row r="130" spans="2:7">
      <c r="C130" s="5" t="s">
        <v>48</v>
      </c>
      <c r="D130" s="5" t="s">
        <v>47</v>
      </c>
      <c r="E130" s="5" t="s">
        <v>46</v>
      </c>
      <c r="F130" s="5" t="s">
        <v>45</v>
      </c>
      <c r="G130" s="5" t="s">
        <v>44</v>
      </c>
    </row>
    <row r="131" spans="2:7">
      <c r="B131" s="5">
        <v>1</v>
      </c>
      <c r="C131" s="5">
        <v>9</v>
      </c>
      <c r="D131" s="5">
        <v>10</v>
      </c>
      <c r="E131" s="5">
        <v>11</v>
      </c>
      <c r="F131" s="5">
        <v>11</v>
      </c>
      <c r="G131" s="5">
        <v>11</v>
      </c>
    </row>
    <row r="132" spans="2:7">
      <c r="B132" s="5">
        <v>2</v>
      </c>
      <c r="C132" s="5">
        <v>10</v>
      </c>
      <c r="D132" s="5">
        <v>11</v>
      </c>
      <c r="E132" s="5">
        <v>9</v>
      </c>
      <c r="F132" s="5">
        <v>11</v>
      </c>
      <c r="G132" s="5">
        <v>10</v>
      </c>
    </row>
    <row r="133" spans="2:7">
      <c r="B133" s="5">
        <v>3</v>
      </c>
      <c r="C133" s="5">
        <v>12</v>
      </c>
      <c r="D133" s="5">
        <v>12</v>
      </c>
      <c r="E133" s="5">
        <v>10</v>
      </c>
      <c r="F133" s="5">
        <v>10</v>
      </c>
      <c r="G133" s="5">
        <v>10</v>
      </c>
    </row>
    <row r="134" spans="2:7">
      <c r="B134" s="5">
        <v>4</v>
      </c>
      <c r="C134" s="5">
        <v>11</v>
      </c>
      <c r="D134" s="5">
        <v>10</v>
      </c>
      <c r="E134" s="5">
        <v>10</v>
      </c>
      <c r="F134" s="5">
        <v>11</v>
      </c>
      <c r="G134" s="5">
        <v>9</v>
      </c>
    </row>
    <row r="135" spans="2:7">
      <c r="B135" s="5">
        <v>5</v>
      </c>
      <c r="C135" s="5">
        <v>11</v>
      </c>
      <c r="D135" s="5">
        <v>10</v>
      </c>
      <c r="E135" s="5">
        <v>11</v>
      </c>
      <c r="F135" s="5">
        <v>11</v>
      </c>
      <c r="G135" s="5">
        <v>10</v>
      </c>
    </row>
    <row r="136" spans="2:7">
      <c r="B136" s="5">
        <v>6</v>
      </c>
      <c r="C136" s="5">
        <v>11</v>
      </c>
      <c r="D136" s="5">
        <v>11</v>
      </c>
      <c r="E136" s="5">
        <v>11</v>
      </c>
      <c r="F136" s="5">
        <v>11</v>
      </c>
      <c r="G136" s="5">
        <v>10</v>
      </c>
    </row>
    <row r="137" spans="2:7">
      <c r="B137" s="5" t="s">
        <v>43</v>
      </c>
      <c r="C137" s="8">
        <f>AVERAGE(C131:C136)</f>
        <v>10.666666666666666</v>
      </c>
      <c r="D137" s="8">
        <f>AVERAGE(D131:D136)</f>
        <v>10.666666666666666</v>
      </c>
      <c r="E137" s="8">
        <f>AVERAGE(E131:E136)</f>
        <v>10.333333333333334</v>
      </c>
      <c r="F137" s="8">
        <f>AVERAGE(F131:F136)</f>
        <v>10.833333333333334</v>
      </c>
      <c r="G137" s="8">
        <f>AVERAGE(G131:G136)</f>
        <v>10</v>
      </c>
    </row>
    <row r="138" spans="2:7">
      <c r="B138" s="5" t="s">
        <v>42</v>
      </c>
      <c r="C138" s="6">
        <f>STDEV(C131:C136)</f>
        <v>1.0327955589886482</v>
      </c>
      <c r="D138" s="6">
        <f>STDEV(D131:D136)</f>
        <v>0.8164965809277307</v>
      </c>
      <c r="E138" s="6">
        <f>STDEV(E131:E136)</f>
        <v>0.8164965809277307</v>
      </c>
      <c r="F138" s="6">
        <f>STDEV(F131:F136)</f>
        <v>0.40824829046387229</v>
      </c>
      <c r="G138" s="6">
        <f>STDEV(G131:G136)</f>
        <v>0.63245553203367588</v>
      </c>
    </row>
    <row r="139" spans="2:7">
      <c r="B139" s="5" t="s">
        <v>41</v>
      </c>
      <c r="C139" s="6">
        <f t="shared" ref="C139:G139" si="70">CONFIDENCE(0.5,C138,6)</f>
        <v>0.28438984920768368</v>
      </c>
      <c r="D139" s="6">
        <f t="shared" si="70"/>
        <v>0.22482991673202848</v>
      </c>
      <c r="E139" s="6">
        <f t="shared" si="70"/>
        <v>0.22482991673202848</v>
      </c>
      <c r="F139" s="6">
        <f t="shared" si="70"/>
        <v>0.11241495836601616</v>
      </c>
      <c r="G139" s="6">
        <f t="shared" si="70"/>
        <v>0.17415250464646834</v>
      </c>
    </row>
  </sheetData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C7:X19"/>
  <sheetViews>
    <sheetView topLeftCell="A20" workbookViewId="0">
      <selection activeCell="U27" sqref="U27"/>
    </sheetView>
  </sheetViews>
  <sheetFormatPr baseColWidth="10" defaultColWidth="9.140625" defaultRowHeight="15"/>
  <cols>
    <col min="1" max="16384" width="9.140625" style="5"/>
  </cols>
  <sheetData>
    <row r="7" spans="3:24">
      <c r="C7" s="14" t="s">
        <v>103</v>
      </c>
    </row>
    <row r="8" spans="3:24">
      <c r="G8" s="10" t="s">
        <v>104</v>
      </c>
      <c r="N8" s="10" t="s">
        <v>105</v>
      </c>
      <c r="T8" s="10" t="s">
        <v>106</v>
      </c>
    </row>
    <row r="10" spans="3:24">
      <c r="F10" s="11" t="s">
        <v>77</v>
      </c>
      <c r="G10" s="10" t="s">
        <v>76</v>
      </c>
      <c r="H10" s="10" t="s">
        <v>75</v>
      </c>
      <c r="I10" s="10" t="s">
        <v>74</v>
      </c>
      <c r="J10" s="10" t="s">
        <v>73</v>
      </c>
      <c r="M10" s="11" t="s">
        <v>77</v>
      </c>
      <c r="N10" s="10" t="s">
        <v>76</v>
      </c>
      <c r="O10" s="10" t="s">
        <v>75</v>
      </c>
      <c r="P10" s="10" t="s">
        <v>74</v>
      </c>
      <c r="Q10" s="10" t="s">
        <v>73</v>
      </c>
      <c r="T10" s="11" t="s">
        <v>77</v>
      </c>
      <c r="U10" s="10" t="s">
        <v>76</v>
      </c>
      <c r="V10" s="10" t="s">
        <v>75</v>
      </c>
      <c r="W10" s="10" t="s">
        <v>74</v>
      </c>
      <c r="X10" s="10" t="s">
        <v>73</v>
      </c>
    </row>
    <row r="11" spans="3:24">
      <c r="F11" s="5">
        <v>60</v>
      </c>
      <c r="G11" s="5">
        <v>66.666666666666657</v>
      </c>
      <c r="H11" s="5">
        <v>73.333333333333329</v>
      </c>
      <c r="I11" s="5">
        <v>73.333333333333329</v>
      </c>
      <c r="J11" s="5">
        <v>73.333333333333329</v>
      </c>
      <c r="M11" s="5">
        <f>1423.7/5</f>
        <v>284.74</v>
      </c>
      <c r="N11" s="5">
        <f>1586.3/5</f>
        <v>317.26</v>
      </c>
      <c r="O11" s="5">
        <f>1617.1/5</f>
        <v>323.41999999999996</v>
      </c>
      <c r="P11" s="5">
        <f>1682.8/5</f>
        <v>336.56</v>
      </c>
      <c r="Q11" s="5">
        <f>1530.4/5</f>
        <v>306.08000000000004</v>
      </c>
      <c r="T11" s="5">
        <f>F11*M11</f>
        <v>17084.400000000001</v>
      </c>
      <c r="U11" s="5">
        <f t="shared" ref="U11:X16" si="0">G11*N11</f>
        <v>21150.666666666664</v>
      </c>
      <c r="V11" s="5">
        <f t="shared" si="0"/>
        <v>23717.466666666664</v>
      </c>
      <c r="W11" s="5">
        <f t="shared" si="0"/>
        <v>24681.066666666666</v>
      </c>
      <c r="X11" s="5">
        <f t="shared" si="0"/>
        <v>22445.866666666669</v>
      </c>
    </row>
    <row r="12" spans="3:24">
      <c r="F12" s="5">
        <v>66.666666666666657</v>
      </c>
      <c r="G12" s="5">
        <v>73.333333333333329</v>
      </c>
      <c r="H12" s="5">
        <v>60</v>
      </c>
      <c r="I12" s="5">
        <v>73.333333333333329</v>
      </c>
      <c r="J12" s="5">
        <v>66.666666666666657</v>
      </c>
      <c r="M12" s="5">
        <f>1429.7/5</f>
        <v>285.94</v>
      </c>
      <c r="N12" s="5">
        <f>1586.4/5</f>
        <v>317.28000000000003</v>
      </c>
      <c r="O12" s="5">
        <f>1506.4/5</f>
        <v>301.28000000000003</v>
      </c>
      <c r="P12" s="5">
        <f>1546.3/5</f>
        <v>309.26</v>
      </c>
      <c r="Q12" s="5">
        <f>1517.3/5</f>
        <v>303.45999999999998</v>
      </c>
      <c r="T12" s="5">
        <f t="shared" ref="T12:T16" si="1">F12*M12</f>
        <v>19062.666666666664</v>
      </c>
      <c r="U12" s="5">
        <f t="shared" si="0"/>
        <v>23267.200000000001</v>
      </c>
      <c r="V12" s="5">
        <f t="shared" si="0"/>
        <v>18076.800000000003</v>
      </c>
      <c r="W12" s="5">
        <f t="shared" si="0"/>
        <v>22679.066666666666</v>
      </c>
      <c r="X12" s="5">
        <f t="shared" si="0"/>
        <v>20230.666666666664</v>
      </c>
    </row>
    <row r="13" spans="3:24">
      <c r="F13" s="5">
        <v>80</v>
      </c>
      <c r="G13" s="5">
        <v>80</v>
      </c>
      <c r="H13" s="5">
        <v>66.666666666666657</v>
      </c>
      <c r="I13" s="5">
        <v>60</v>
      </c>
      <c r="J13" s="5">
        <v>66.666666666666657</v>
      </c>
      <c r="M13" s="5">
        <f>1398.1/5</f>
        <v>279.62</v>
      </c>
      <c r="N13" s="5">
        <f>1510.4/5</f>
        <v>302.08000000000004</v>
      </c>
      <c r="O13" s="5">
        <f>1507.3/5</f>
        <v>301.45999999999998</v>
      </c>
      <c r="P13" s="5">
        <f>1343/5</f>
        <v>268.60000000000002</v>
      </c>
      <c r="Q13" s="5">
        <f>1483.5/5</f>
        <v>296.7</v>
      </c>
      <c r="T13" s="5">
        <f t="shared" si="1"/>
        <v>22369.599999999999</v>
      </c>
      <c r="U13" s="5">
        <f t="shared" si="0"/>
        <v>24166.400000000001</v>
      </c>
      <c r="V13" s="5">
        <f t="shared" si="0"/>
        <v>20097.333333333328</v>
      </c>
      <c r="W13" s="5">
        <f t="shared" si="0"/>
        <v>16116.000000000002</v>
      </c>
      <c r="X13" s="5">
        <f t="shared" si="0"/>
        <v>19779.999999999996</v>
      </c>
    </row>
    <row r="14" spans="3:24">
      <c r="F14" s="5">
        <v>73.333333333333329</v>
      </c>
      <c r="G14" s="5">
        <v>66.666666666666657</v>
      </c>
      <c r="H14" s="5">
        <v>66.666666666666657</v>
      </c>
      <c r="I14" s="5">
        <v>66.666666666666657</v>
      </c>
      <c r="J14" s="5">
        <v>60</v>
      </c>
      <c r="M14" s="5">
        <f>1263.8/5</f>
        <v>252.76</v>
      </c>
      <c r="N14" s="5">
        <f>1644.1/5</f>
        <v>328.82</v>
      </c>
      <c r="O14" s="5">
        <f>1491.5/5</f>
        <v>298.3</v>
      </c>
      <c r="P14" s="5">
        <f>1311.5/5</f>
        <v>262.3</v>
      </c>
      <c r="Q14" s="5">
        <f>1226.7/5</f>
        <v>245.34</v>
      </c>
      <c r="T14" s="5">
        <f t="shared" si="1"/>
        <v>18535.73333333333</v>
      </c>
      <c r="U14" s="5">
        <f t="shared" si="0"/>
        <v>21921.333333333328</v>
      </c>
      <c r="V14" s="5">
        <f t="shared" si="0"/>
        <v>19886.666666666664</v>
      </c>
      <c r="W14" s="5">
        <f t="shared" si="0"/>
        <v>17486.666666666664</v>
      </c>
      <c r="X14" s="5">
        <f t="shared" si="0"/>
        <v>14720.4</v>
      </c>
    </row>
    <row r="15" spans="3:24">
      <c r="F15" s="5">
        <v>73.333333333333329</v>
      </c>
      <c r="G15" s="5">
        <v>66.666666666666657</v>
      </c>
      <c r="H15" s="5">
        <v>73.333333333333329</v>
      </c>
      <c r="I15" s="5">
        <v>73.333333333333329</v>
      </c>
      <c r="J15" s="5">
        <v>66.666666666666657</v>
      </c>
      <c r="M15" s="5">
        <f>1379.9/5</f>
        <v>275.98</v>
      </c>
      <c r="N15" s="5">
        <f>1552.4/5</f>
        <v>310.48</v>
      </c>
      <c r="O15" s="5">
        <f>1445.9/5</f>
        <v>289.18</v>
      </c>
      <c r="P15" s="5">
        <f>1149/5</f>
        <v>229.8</v>
      </c>
      <c r="Q15" s="5">
        <f>1353.4/5</f>
        <v>270.68</v>
      </c>
      <c r="T15" s="5">
        <f t="shared" si="1"/>
        <v>20238.533333333333</v>
      </c>
      <c r="U15" s="5">
        <f t="shared" si="0"/>
        <v>20698.666666666664</v>
      </c>
      <c r="V15" s="5">
        <f t="shared" si="0"/>
        <v>21206.533333333333</v>
      </c>
      <c r="W15" s="5">
        <f t="shared" si="0"/>
        <v>16852</v>
      </c>
      <c r="X15" s="5">
        <f t="shared" si="0"/>
        <v>18045.333333333332</v>
      </c>
    </row>
    <row r="16" spans="3:24">
      <c r="F16" s="5">
        <v>73.333333333333329</v>
      </c>
      <c r="G16" s="5">
        <v>73.333333333333329</v>
      </c>
      <c r="H16" s="5">
        <v>73.333333333333329</v>
      </c>
      <c r="I16" s="5">
        <v>73.333333333333329</v>
      </c>
      <c r="J16" s="5">
        <v>66.666666666666657</v>
      </c>
      <c r="M16" s="5">
        <f>1518.8/5</f>
        <v>303.76</v>
      </c>
      <c r="N16" s="7"/>
      <c r="O16" s="5">
        <f>1370.4/5</f>
        <v>274.08000000000004</v>
      </c>
      <c r="P16" s="5">
        <f>1389.5/5</f>
        <v>277.89999999999998</v>
      </c>
      <c r="Q16" s="5">
        <f>1400.7/5</f>
        <v>280.14</v>
      </c>
      <c r="T16" s="5">
        <f t="shared" si="1"/>
        <v>22275.73333333333</v>
      </c>
      <c r="V16" s="5">
        <f t="shared" si="0"/>
        <v>20099.2</v>
      </c>
      <c r="W16" s="5">
        <f t="shared" si="0"/>
        <v>20379.333333333332</v>
      </c>
      <c r="X16" s="5">
        <f t="shared" si="0"/>
        <v>18675.999999999996</v>
      </c>
    </row>
    <row r="17" spans="5:24">
      <c r="E17" s="5" t="s">
        <v>66</v>
      </c>
      <c r="F17" s="5">
        <v>71.1111111111111</v>
      </c>
      <c r="G17" s="5">
        <v>71.1111111111111</v>
      </c>
      <c r="H17" s="5">
        <v>68.888888888888872</v>
      </c>
      <c r="I17" s="5">
        <v>69.999999999999986</v>
      </c>
      <c r="J17" s="5">
        <v>66.666666666666643</v>
      </c>
      <c r="L17" s="5" t="s">
        <v>66</v>
      </c>
      <c r="M17" s="6">
        <f>AVERAGE(M11:M16)</f>
        <v>280.46666666666664</v>
      </c>
      <c r="N17" s="6">
        <f>AVERAGE(N11:N15)</f>
        <v>315.18400000000003</v>
      </c>
      <c r="O17" s="6">
        <f>AVERAGE(O11:O16)</f>
        <v>297.95333333333338</v>
      </c>
      <c r="P17" s="6">
        <f>AVERAGE(P11:P16)</f>
        <v>280.73666666666668</v>
      </c>
      <c r="Q17" s="6">
        <f>AVERAGE(Q11:Q16)</f>
        <v>283.73333333333335</v>
      </c>
      <c r="S17" s="5" t="s">
        <v>66</v>
      </c>
      <c r="T17" s="6">
        <f>AVERAGE(T11:T16)</f>
        <v>19927.777777777777</v>
      </c>
      <c r="U17" s="6">
        <f>AVERAGE(U11:U15)</f>
        <v>22240.853333333333</v>
      </c>
      <c r="V17" s="6">
        <f>AVERAGE(V11:V16)</f>
        <v>20513.999999999996</v>
      </c>
      <c r="W17" s="6">
        <f>AVERAGE(W11:W16)</f>
        <v>19699.022222222218</v>
      </c>
      <c r="X17" s="6">
        <f>AVERAGE(X11:X16)</f>
        <v>18983.04444444444</v>
      </c>
    </row>
    <row r="18" spans="5:24">
      <c r="E18" s="5" t="s">
        <v>65</v>
      </c>
      <c r="F18" s="5">
        <v>6.8853037265909638</v>
      </c>
      <c r="G18" s="5">
        <v>5.4433105395181771</v>
      </c>
      <c r="H18" s="5">
        <v>5.4433105395181736</v>
      </c>
      <c r="I18" s="5">
        <v>5.5777335102271692</v>
      </c>
      <c r="J18" s="5">
        <v>4.2163702135578376</v>
      </c>
      <c r="L18" s="5" t="s">
        <v>65</v>
      </c>
      <c r="M18" s="6">
        <f>STDEV(M11:M16)</f>
        <v>16.609060980882703</v>
      </c>
      <c r="N18" s="6">
        <f>STDEV(N11:N15)</f>
        <v>9.8550230847016085</v>
      </c>
      <c r="O18" s="6">
        <f>STDEV(O11:O16)</f>
        <v>16.241564785038836</v>
      </c>
      <c r="P18" s="6">
        <f>STDEV(P11:P16)</f>
        <v>37.468987531913321</v>
      </c>
      <c r="Q18" s="6">
        <f t="shared" ref="Q18" si="2">STDEV(Q11:Q16)</f>
        <v>23.298064011129</v>
      </c>
      <c r="S18" s="5" t="s">
        <v>65</v>
      </c>
      <c r="T18" s="6">
        <f>STDEV(T11:T16)</f>
        <v>2113.9045497915927</v>
      </c>
      <c r="U18" s="6">
        <f>STDEV(U11:U15)</f>
        <v>1451.7280357483476</v>
      </c>
      <c r="V18" s="6">
        <f>STDEV(V11:V16)</f>
        <v>1866.599164493781</v>
      </c>
      <c r="W18" s="6">
        <f>STDEV(W11:W16)</f>
        <v>3464.1696213709965</v>
      </c>
      <c r="X18" s="6">
        <f t="shared" ref="X18" si="3">STDEV(X11:X16)</f>
        <v>2581.7262902232105</v>
      </c>
    </row>
    <row r="19" spans="5:24">
      <c r="E19" s="5" t="s">
        <v>64</v>
      </c>
      <c r="F19" s="5">
        <v>5.5092891760405474</v>
      </c>
      <c r="G19" s="5">
        <v>4.3554755212001215</v>
      </c>
      <c r="H19" s="5">
        <v>4.3554755212001197</v>
      </c>
      <c r="I19" s="5">
        <v>4.4630343228079834</v>
      </c>
      <c r="J19" s="5">
        <v>3.373736831684425</v>
      </c>
      <c r="L19" s="5" t="s">
        <v>64</v>
      </c>
      <c r="M19" s="6">
        <f>CONFIDENCE(0.5,M18,6)</f>
        <v>4.5734591969584288</v>
      </c>
      <c r="N19" s="6">
        <f>CONFIDENCE(0.5,N18,5)</f>
        <v>2.9726788834073492</v>
      </c>
      <c r="O19" s="6">
        <f t="shared" ref="O19:Q19" si="4">CONFIDENCE(0.5,O18,6)</f>
        <v>4.4722657063291917</v>
      </c>
      <c r="P19" s="6">
        <f t="shared" si="4"/>
        <v>10.317433708371057</v>
      </c>
      <c r="Q19" s="6">
        <f t="shared" si="4"/>
        <v>6.4153383051376611</v>
      </c>
      <c r="S19" s="5" t="s">
        <v>64</v>
      </c>
      <c r="T19" s="6">
        <f>CONFIDENCE(0.5,T18,6)</f>
        <v>582.08325057415857</v>
      </c>
      <c r="U19" s="6">
        <f t="shared" ref="U19:X19" si="5">CONFIDENCE(0.5,U18,6)</f>
        <v>399.74679749913332</v>
      </c>
      <c r="V19" s="6">
        <f t="shared" si="5"/>
        <v>513.98541589527622</v>
      </c>
      <c r="W19" s="6">
        <f t="shared" si="5"/>
        <v>953.89127855686752</v>
      </c>
      <c r="X19" s="6">
        <f t="shared" si="5"/>
        <v>710.90231167440697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Sheet1</vt:lpstr>
      <vt:lpstr>dinam de germinacion</vt:lpstr>
      <vt:lpstr>velocidad de germinacion</vt:lpstr>
      <vt:lpstr>tiempo med y tasade germinacion</vt:lpstr>
      <vt:lpstr>indice de vigor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PAPIN</dc:creator>
  <cp:lastModifiedBy>Yanelis</cp:lastModifiedBy>
  <dcterms:created xsi:type="dcterms:W3CDTF">2023-06-04T21:33:00Z</dcterms:created>
  <dcterms:modified xsi:type="dcterms:W3CDTF">2023-08-05T17:42:46Z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1FF5F18A24D04F60978628C4833570E4</vt:lpwstr>
  </property>
  <property fmtid="{D5CDD505-2E9C-101B-9397-08002B2CF9AE}" pid="3" name="KSOProductBuildVer">
    <vt:lpwstr>3082-11.2.0.11537</vt:lpwstr>
  </property>
</Properties>
</file>