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60" windowHeight="11580" activeTab="2"/>
  </bookViews>
  <sheets>
    <sheet name="dinamica de germ" sheetId="1" r:id="rId1"/>
    <sheet name="velocidad de germinacion" sheetId="2" r:id="rId2"/>
    <sheet name="tiempo med y tasade germinacion" sheetId="4" r:id="rId3"/>
    <sheet name="indice de vigor" sheetId="3" r:id="rId4"/>
  </sheets>
  <calcPr calcId="124519"/>
</workbook>
</file>

<file path=xl/calcChain.xml><?xml version="1.0" encoding="utf-8"?>
<calcChain xmlns="http://schemas.openxmlformats.org/spreadsheetml/2006/main">
  <c r="N19" i="3"/>
  <c r="U18" l="1"/>
  <c r="U17"/>
  <c r="T18"/>
  <c r="T17"/>
  <c r="X18"/>
  <c r="X19" s="1"/>
  <c r="W18"/>
  <c r="W19" s="1"/>
  <c r="V18"/>
  <c r="V19" s="1"/>
  <c r="U19"/>
  <c r="T19"/>
  <c r="X17"/>
  <c r="W17"/>
  <c r="V17"/>
  <c r="X12"/>
  <c r="X13"/>
  <c r="X14"/>
  <c r="X15"/>
  <c r="X16"/>
  <c r="W12"/>
  <c r="W13"/>
  <c r="W14"/>
  <c r="W15"/>
  <c r="W16"/>
  <c r="V12"/>
  <c r="V13"/>
  <c r="V14"/>
  <c r="V15"/>
  <c r="V16"/>
  <c r="U12"/>
  <c r="U13"/>
  <c r="U14"/>
  <c r="U15"/>
  <c r="T12"/>
  <c r="T13"/>
  <c r="T14"/>
  <c r="T15"/>
  <c r="T16"/>
  <c r="U11"/>
  <c r="V11"/>
  <c r="W11"/>
  <c r="X11"/>
  <c r="T11"/>
  <c r="O19"/>
  <c r="P19"/>
  <c r="Q19"/>
  <c r="M19"/>
  <c r="Q17"/>
  <c r="P18"/>
  <c r="O18"/>
  <c r="N18"/>
  <c r="Q18"/>
  <c r="M18"/>
  <c r="P17"/>
  <c r="O17"/>
  <c r="N17"/>
  <c r="M17"/>
  <c r="Q16"/>
  <c r="P16"/>
  <c r="O16"/>
  <c r="M16"/>
  <c r="Q15"/>
  <c r="P15"/>
  <c r="O15"/>
  <c r="N15"/>
  <c r="M15"/>
  <c r="Q14"/>
  <c r="P14"/>
  <c r="O14"/>
  <c r="N14"/>
  <c r="M14"/>
  <c r="Q13"/>
  <c r="P13"/>
  <c r="O13"/>
  <c r="N13"/>
  <c r="M13"/>
  <c r="Q12"/>
  <c r="P12"/>
  <c r="O12"/>
  <c r="N12"/>
  <c r="M12"/>
  <c r="Q11"/>
  <c r="P11"/>
  <c r="O11"/>
  <c r="N11"/>
  <c r="M11"/>
  <c r="X72" i="4"/>
  <c r="X71"/>
  <c r="X70"/>
  <c r="X65"/>
  <c r="X66"/>
  <c r="X67"/>
  <c r="X68"/>
  <c r="X69"/>
  <c r="X64"/>
  <c r="X61"/>
  <c r="X60"/>
  <c r="X59"/>
  <c r="X54"/>
  <c r="X55"/>
  <c r="X56"/>
  <c r="X57"/>
  <c r="X58"/>
  <c r="X53"/>
  <c r="X49"/>
  <c r="X48"/>
  <c r="X47"/>
  <c r="X42"/>
  <c r="X43"/>
  <c r="X44"/>
  <c r="X45"/>
  <c r="X46"/>
  <c r="X41"/>
  <c r="X37"/>
  <c r="X36"/>
  <c r="X35"/>
  <c r="X30"/>
  <c r="X31"/>
  <c r="X32"/>
  <c r="X33"/>
  <c r="X34"/>
  <c r="X29"/>
  <c r="X24"/>
  <c r="X23"/>
  <c r="X22"/>
  <c r="X17"/>
  <c r="X18"/>
  <c r="X19"/>
  <c r="X20"/>
  <c r="X21"/>
  <c r="X16"/>
  <c r="W71"/>
  <c r="W70"/>
  <c r="W65"/>
  <c r="W66"/>
  <c r="W67"/>
  <c r="W68"/>
  <c r="W69"/>
  <c r="W64"/>
  <c r="U65"/>
  <c r="U66"/>
  <c r="U67"/>
  <c r="U68"/>
  <c r="U69"/>
  <c r="U64"/>
  <c r="T65"/>
  <c r="T66"/>
  <c r="T67"/>
  <c r="T68"/>
  <c r="T69"/>
  <c r="T64"/>
  <c r="S65"/>
  <c r="S66"/>
  <c r="S67"/>
  <c r="S68"/>
  <c r="S69"/>
  <c r="S64"/>
  <c r="R65"/>
  <c r="R66"/>
  <c r="R67"/>
  <c r="R68"/>
  <c r="R69"/>
  <c r="R64"/>
  <c r="Q65"/>
  <c r="Q66"/>
  <c r="Q67"/>
  <c r="Q68"/>
  <c r="Q69"/>
  <c r="Q64"/>
  <c r="P65"/>
  <c r="P66"/>
  <c r="P67"/>
  <c r="P68"/>
  <c r="P69"/>
  <c r="P64"/>
  <c r="O65"/>
  <c r="O66"/>
  <c r="O67"/>
  <c r="O68"/>
  <c r="O69"/>
  <c r="O64"/>
  <c r="N65"/>
  <c r="N66"/>
  <c r="N67"/>
  <c r="N68"/>
  <c r="N69"/>
  <c r="N64"/>
  <c r="M65"/>
  <c r="M66"/>
  <c r="M67"/>
  <c r="M68"/>
  <c r="M69"/>
  <c r="M64"/>
  <c r="L65"/>
  <c r="L66"/>
  <c r="L67"/>
  <c r="L68"/>
  <c r="L69"/>
  <c r="L64"/>
  <c r="K65"/>
  <c r="K66"/>
  <c r="K67"/>
  <c r="K68"/>
  <c r="K69"/>
  <c r="K64"/>
  <c r="W61"/>
  <c r="W60"/>
  <c r="W59"/>
  <c r="W54"/>
  <c r="W55"/>
  <c r="W56"/>
  <c r="W57"/>
  <c r="W58"/>
  <c r="W53"/>
  <c r="U54"/>
  <c r="U55"/>
  <c r="U56"/>
  <c r="U57"/>
  <c r="U58"/>
  <c r="U53"/>
  <c r="T54"/>
  <c r="T55"/>
  <c r="T56"/>
  <c r="T57"/>
  <c r="T58"/>
  <c r="T53"/>
  <c r="S54"/>
  <c r="S55"/>
  <c r="S56"/>
  <c r="S57"/>
  <c r="S58"/>
  <c r="S53"/>
  <c r="R54"/>
  <c r="R55"/>
  <c r="R56"/>
  <c r="R57"/>
  <c r="R58"/>
  <c r="R53"/>
  <c r="Q54"/>
  <c r="Q55"/>
  <c r="Q56"/>
  <c r="Q57"/>
  <c r="Q58"/>
  <c r="Q53"/>
  <c r="P54"/>
  <c r="P55"/>
  <c r="P56"/>
  <c r="P57"/>
  <c r="P58"/>
  <c r="P53"/>
  <c r="O54"/>
  <c r="O55"/>
  <c r="O56"/>
  <c r="O57"/>
  <c r="O58"/>
  <c r="O53"/>
  <c r="N54"/>
  <c r="N55"/>
  <c r="N56"/>
  <c r="N57"/>
  <c r="N58"/>
  <c r="N53"/>
  <c r="M54"/>
  <c r="M55"/>
  <c r="M56"/>
  <c r="M57"/>
  <c r="M58"/>
  <c r="M53"/>
  <c r="L54"/>
  <c r="L55"/>
  <c r="L56"/>
  <c r="L57"/>
  <c r="L58"/>
  <c r="L53"/>
  <c r="K54"/>
  <c r="K55"/>
  <c r="K56"/>
  <c r="K57"/>
  <c r="K58"/>
  <c r="K53"/>
  <c r="W49"/>
  <c r="W48"/>
  <c r="W47"/>
  <c r="W42"/>
  <c r="W43"/>
  <c r="W44"/>
  <c r="W45"/>
  <c r="W46"/>
  <c r="W41"/>
  <c r="U42"/>
  <c r="U43"/>
  <c r="U44"/>
  <c r="U45"/>
  <c r="U46"/>
  <c r="U41"/>
  <c r="T42"/>
  <c r="T43"/>
  <c r="T44"/>
  <c r="T45"/>
  <c r="T46"/>
  <c r="T41"/>
  <c r="S42"/>
  <c r="S43"/>
  <c r="S44"/>
  <c r="S45"/>
  <c r="S46"/>
  <c r="S41"/>
  <c r="R42"/>
  <c r="R43"/>
  <c r="R44"/>
  <c r="R45"/>
  <c r="R46"/>
  <c r="R41"/>
  <c r="Q42"/>
  <c r="Q43"/>
  <c r="Q44"/>
  <c r="Q45"/>
  <c r="Q46"/>
  <c r="Q41"/>
  <c r="P42"/>
  <c r="P43"/>
  <c r="P44"/>
  <c r="P45"/>
  <c r="P46"/>
  <c r="P41"/>
  <c r="O42"/>
  <c r="O43"/>
  <c r="O44"/>
  <c r="O45"/>
  <c r="O46"/>
  <c r="O41"/>
  <c r="N42"/>
  <c r="N43"/>
  <c r="N44"/>
  <c r="N45"/>
  <c r="N46"/>
  <c r="N41"/>
  <c r="L41"/>
  <c r="M42"/>
  <c r="M43"/>
  <c r="M44"/>
  <c r="M45"/>
  <c r="M46"/>
  <c r="M41"/>
  <c r="L42"/>
  <c r="L43"/>
  <c r="L44"/>
  <c r="L45"/>
  <c r="L46"/>
  <c r="K42"/>
  <c r="K43"/>
  <c r="K44"/>
  <c r="K45"/>
  <c r="K46"/>
  <c r="K41"/>
  <c r="W37"/>
  <c r="W36"/>
  <c r="W35"/>
  <c r="W30"/>
  <c r="W31"/>
  <c r="W32"/>
  <c r="W33"/>
  <c r="W34"/>
  <c r="W29"/>
  <c r="U30"/>
  <c r="U31"/>
  <c r="U32"/>
  <c r="U33"/>
  <c r="U34"/>
  <c r="U29"/>
  <c r="T30"/>
  <c r="T31"/>
  <c r="T32"/>
  <c r="T33"/>
  <c r="T34"/>
  <c r="T29"/>
  <c r="S30"/>
  <c r="S31"/>
  <c r="S32"/>
  <c r="S33"/>
  <c r="S34"/>
  <c r="S29"/>
  <c r="R30"/>
  <c r="R31"/>
  <c r="R32"/>
  <c r="R33"/>
  <c r="R34"/>
  <c r="R29"/>
  <c r="Q30"/>
  <c r="Q31"/>
  <c r="Q32"/>
  <c r="Q33"/>
  <c r="Q34"/>
  <c r="Q29"/>
  <c r="P30"/>
  <c r="P31"/>
  <c r="P32"/>
  <c r="P33"/>
  <c r="P34"/>
  <c r="P29"/>
  <c r="O30"/>
  <c r="O31"/>
  <c r="O32"/>
  <c r="O33"/>
  <c r="O34"/>
  <c r="O29"/>
  <c r="N30"/>
  <c r="N31"/>
  <c r="N32"/>
  <c r="N33"/>
  <c r="N34"/>
  <c r="N29"/>
  <c r="M30"/>
  <c r="M31"/>
  <c r="M32"/>
  <c r="M33"/>
  <c r="M34"/>
  <c r="M29"/>
  <c r="L30"/>
  <c r="L31"/>
  <c r="L32"/>
  <c r="L33"/>
  <c r="L34"/>
  <c r="L29"/>
  <c r="K30"/>
  <c r="K31"/>
  <c r="K32"/>
  <c r="K33"/>
  <c r="K34"/>
  <c r="K29"/>
  <c r="W17"/>
  <c r="W24"/>
  <c r="W23"/>
  <c r="W22"/>
  <c r="W18"/>
  <c r="W19"/>
  <c r="W20"/>
  <c r="W21"/>
  <c r="W16"/>
  <c r="U17"/>
  <c r="U18"/>
  <c r="U19"/>
  <c r="U20"/>
  <c r="U21"/>
  <c r="U16"/>
  <c r="T17"/>
  <c r="T18"/>
  <c r="T19"/>
  <c r="T20"/>
  <c r="T21"/>
  <c r="T16"/>
  <c r="S17"/>
  <c r="S18"/>
  <c r="S19"/>
  <c r="S20"/>
  <c r="S21"/>
  <c r="S16"/>
  <c r="R17"/>
  <c r="R18"/>
  <c r="R19"/>
  <c r="R20"/>
  <c r="R21"/>
  <c r="R16"/>
  <c r="Q17"/>
  <c r="Q18"/>
  <c r="Q19"/>
  <c r="Q20"/>
  <c r="Q21"/>
  <c r="Q16"/>
  <c r="P17"/>
  <c r="V17" s="1"/>
  <c r="P18"/>
  <c r="P19"/>
  <c r="V19" s="1"/>
  <c r="P20"/>
  <c r="P21"/>
  <c r="V21" s="1"/>
  <c r="P16"/>
  <c r="O17"/>
  <c r="O18"/>
  <c r="O19"/>
  <c r="O20"/>
  <c r="O21"/>
  <c r="O16"/>
  <c r="N17"/>
  <c r="N18"/>
  <c r="N19"/>
  <c r="N20"/>
  <c r="N21"/>
  <c r="N16"/>
  <c r="M17"/>
  <c r="M18"/>
  <c r="M19"/>
  <c r="M20"/>
  <c r="M21"/>
  <c r="M16"/>
  <c r="V16" s="1"/>
  <c r="L17"/>
  <c r="L18"/>
  <c r="L19"/>
  <c r="L20"/>
  <c r="L21"/>
  <c r="L16"/>
  <c r="K17"/>
  <c r="K18"/>
  <c r="K19"/>
  <c r="K20"/>
  <c r="K21"/>
  <c r="K16"/>
  <c r="G138"/>
  <c r="G139" s="1"/>
  <c r="F138"/>
  <c r="F139" s="1"/>
  <c r="E138"/>
  <c r="E139" s="1"/>
  <c r="D138"/>
  <c r="D139" s="1"/>
  <c r="C138"/>
  <c r="C139" s="1"/>
  <c r="G137"/>
  <c r="F137"/>
  <c r="E137"/>
  <c r="D137"/>
  <c r="C137"/>
  <c r="G127"/>
  <c r="F127"/>
  <c r="E127"/>
  <c r="D127"/>
  <c r="C127"/>
  <c r="G117"/>
  <c r="F117"/>
  <c r="E117"/>
  <c r="D117"/>
  <c r="C117"/>
  <c r="G104"/>
  <c r="F104"/>
  <c r="E104"/>
  <c r="D104"/>
  <c r="C104"/>
  <c r="G94"/>
  <c r="G95" s="1"/>
  <c r="F94"/>
  <c r="F95" s="1"/>
  <c r="E94"/>
  <c r="E95" s="1"/>
  <c r="D94"/>
  <c r="D95" s="1"/>
  <c r="C94"/>
  <c r="C95" s="1"/>
  <c r="G93"/>
  <c r="F93"/>
  <c r="E93"/>
  <c r="D93"/>
  <c r="C93"/>
  <c r="G82"/>
  <c r="F82"/>
  <c r="E82"/>
  <c r="D82"/>
  <c r="C82"/>
  <c r="G71"/>
  <c r="F71"/>
  <c r="E71"/>
  <c r="D71"/>
  <c r="C71"/>
  <c r="V69"/>
  <c r="V68"/>
  <c r="V67"/>
  <c r="V66"/>
  <c r="V65"/>
  <c r="V64"/>
  <c r="G60"/>
  <c r="F60"/>
  <c r="E60"/>
  <c r="D60"/>
  <c r="C60"/>
  <c r="V58"/>
  <c r="V57"/>
  <c r="V56"/>
  <c r="V55"/>
  <c r="V54"/>
  <c r="V53"/>
  <c r="G48"/>
  <c r="G49" s="1"/>
  <c r="F48"/>
  <c r="F49" s="1"/>
  <c r="E48"/>
  <c r="E49" s="1"/>
  <c r="D48"/>
  <c r="D49" s="1"/>
  <c r="C48"/>
  <c r="C49" s="1"/>
  <c r="G47"/>
  <c r="F47"/>
  <c r="E47"/>
  <c r="D47"/>
  <c r="C47"/>
  <c r="V46"/>
  <c r="V45"/>
  <c r="V44"/>
  <c r="V43"/>
  <c r="V42"/>
  <c r="V41"/>
  <c r="G36"/>
  <c r="G37" s="1"/>
  <c r="F36"/>
  <c r="F37" s="1"/>
  <c r="E36"/>
  <c r="E37" s="1"/>
  <c r="D36"/>
  <c r="D37" s="1"/>
  <c r="C36"/>
  <c r="C37" s="1"/>
  <c r="G35"/>
  <c r="F35"/>
  <c r="E35"/>
  <c r="D35"/>
  <c r="C35"/>
  <c r="V34"/>
  <c r="V33"/>
  <c r="V32"/>
  <c r="V31"/>
  <c r="V30"/>
  <c r="V29"/>
  <c r="G23"/>
  <c r="G24" s="1"/>
  <c r="F23"/>
  <c r="F24" s="1"/>
  <c r="E23"/>
  <c r="E24" s="1"/>
  <c r="D23"/>
  <c r="D24" s="1"/>
  <c r="C23"/>
  <c r="C24" s="1"/>
  <c r="G22"/>
  <c r="F22"/>
  <c r="E22"/>
  <c r="D22"/>
  <c r="C22"/>
  <c r="V20"/>
  <c r="V18"/>
  <c r="V65" i="2"/>
  <c r="V66"/>
  <c r="V67"/>
  <c r="V68"/>
  <c r="V69"/>
  <c r="V64"/>
  <c r="K65"/>
  <c r="K66"/>
  <c r="K67"/>
  <c r="K68"/>
  <c r="K69"/>
  <c r="K64"/>
  <c r="V54"/>
  <c r="V55"/>
  <c r="V56"/>
  <c r="V57"/>
  <c r="V58"/>
  <c r="V53"/>
  <c r="K54"/>
  <c r="K55"/>
  <c r="K56"/>
  <c r="K57"/>
  <c r="K58"/>
  <c r="K42"/>
  <c r="K43"/>
  <c r="V43" s="1"/>
  <c r="K44"/>
  <c r="K45"/>
  <c r="V45" s="1"/>
  <c r="K46"/>
  <c r="K41"/>
  <c r="K53"/>
  <c r="V42"/>
  <c r="V44"/>
  <c r="V46"/>
  <c r="V41"/>
  <c r="V30"/>
  <c r="V31"/>
  <c r="V32"/>
  <c r="V33"/>
  <c r="V34"/>
  <c r="V29"/>
  <c r="K30"/>
  <c r="K31"/>
  <c r="K32"/>
  <c r="K33"/>
  <c r="K34"/>
  <c r="K29"/>
  <c r="L29"/>
  <c r="V17"/>
  <c r="V18"/>
  <c r="V19"/>
  <c r="V20"/>
  <c r="V21"/>
  <c r="V16"/>
  <c r="K17"/>
  <c r="K18"/>
  <c r="K19"/>
  <c r="K20"/>
  <c r="K21"/>
  <c r="K16"/>
  <c r="U65"/>
  <c r="U66"/>
  <c r="U67"/>
  <c r="U68"/>
  <c r="U69"/>
  <c r="U64"/>
  <c r="T65"/>
  <c r="T66"/>
  <c r="T67"/>
  <c r="T68"/>
  <c r="T69"/>
  <c r="T64"/>
  <c r="S64"/>
  <c r="S65"/>
  <c r="S66"/>
  <c r="S67"/>
  <c r="S68"/>
  <c r="S69"/>
  <c r="R65"/>
  <c r="R66"/>
  <c r="R67"/>
  <c r="R68"/>
  <c r="R69"/>
  <c r="R64"/>
  <c r="Q65"/>
  <c r="Q66"/>
  <c r="Q67"/>
  <c r="Q68"/>
  <c r="Q69"/>
  <c r="Q64"/>
  <c r="P65"/>
  <c r="P66"/>
  <c r="P67"/>
  <c r="P68"/>
  <c r="P69"/>
  <c r="P64"/>
  <c r="O65"/>
  <c r="O66"/>
  <c r="O67"/>
  <c r="O68"/>
  <c r="O69"/>
  <c r="O64"/>
  <c r="N65"/>
  <c r="N66"/>
  <c r="N67"/>
  <c r="N68"/>
  <c r="N69"/>
  <c r="N64"/>
  <c r="M65"/>
  <c r="M66"/>
  <c r="M67"/>
  <c r="M68"/>
  <c r="M69"/>
  <c r="M64"/>
  <c r="L65"/>
  <c r="L66"/>
  <c r="L67"/>
  <c r="L68"/>
  <c r="L69"/>
  <c r="L64"/>
  <c r="U54"/>
  <c r="U55"/>
  <c r="U56"/>
  <c r="U57"/>
  <c r="U58"/>
  <c r="U53"/>
  <c r="T53"/>
  <c r="T56"/>
  <c r="T55"/>
  <c r="T54"/>
  <c r="T57"/>
  <c r="T58"/>
  <c r="S54"/>
  <c r="S55"/>
  <c r="S56"/>
  <c r="S57"/>
  <c r="S58"/>
  <c r="S53"/>
  <c r="R56"/>
  <c r="R54"/>
  <c r="R55"/>
  <c r="R57"/>
  <c r="R58"/>
  <c r="R53"/>
  <c r="Q56"/>
  <c r="Q54"/>
  <c r="Q55"/>
  <c r="Q57"/>
  <c r="Q58"/>
  <c r="Q53"/>
  <c r="P56"/>
  <c r="P54"/>
  <c r="P55"/>
  <c r="P57"/>
  <c r="P58"/>
  <c r="P53"/>
  <c r="O56"/>
  <c r="O54"/>
  <c r="O55"/>
  <c r="O57"/>
  <c r="O58"/>
  <c r="O53"/>
  <c r="N54"/>
  <c r="N55"/>
  <c r="N56"/>
  <c r="N57"/>
  <c r="N58"/>
  <c r="N53"/>
  <c r="M54"/>
  <c r="M55"/>
  <c r="M56"/>
  <c r="M57"/>
  <c r="M58"/>
  <c r="M53"/>
  <c r="L54"/>
  <c r="L55"/>
  <c r="L56"/>
  <c r="L57"/>
  <c r="L58"/>
  <c r="L53"/>
  <c r="U42"/>
  <c r="U43"/>
  <c r="U44"/>
  <c r="U45"/>
  <c r="U46"/>
  <c r="U41"/>
  <c r="T42"/>
  <c r="T43"/>
  <c r="T44"/>
  <c r="T45"/>
  <c r="T46"/>
  <c r="T41"/>
  <c r="S42"/>
  <c r="S43"/>
  <c r="S44"/>
  <c r="S45"/>
  <c r="S46"/>
  <c r="S41"/>
  <c r="R42"/>
  <c r="R43"/>
  <c r="R44"/>
  <c r="R45"/>
  <c r="R46"/>
  <c r="R41"/>
  <c r="Q42"/>
  <c r="Q43"/>
  <c r="Q44"/>
  <c r="Q45"/>
  <c r="Q46"/>
  <c r="Q41"/>
  <c r="P42"/>
  <c r="P43"/>
  <c r="P44"/>
  <c r="P45"/>
  <c r="P46"/>
  <c r="P41"/>
  <c r="O42"/>
  <c r="O43"/>
  <c r="O44"/>
  <c r="O45"/>
  <c r="O46"/>
  <c r="O41"/>
  <c r="N41"/>
  <c r="N42"/>
  <c r="N43"/>
  <c r="N44"/>
  <c r="N45"/>
  <c r="N46"/>
  <c r="M42"/>
  <c r="M43"/>
  <c r="M44"/>
  <c r="M45"/>
  <c r="M46"/>
  <c r="M41"/>
  <c r="L42"/>
  <c r="L43"/>
  <c r="L44"/>
  <c r="L45"/>
  <c r="L46"/>
  <c r="L41"/>
  <c r="V36"/>
  <c r="V37" s="1"/>
  <c r="V35"/>
  <c r="U30"/>
  <c r="U31"/>
  <c r="U32"/>
  <c r="U33"/>
  <c r="U34"/>
  <c r="U29"/>
  <c r="T30"/>
  <c r="T31"/>
  <c r="T32"/>
  <c r="T33"/>
  <c r="T34"/>
  <c r="T29"/>
  <c r="S34"/>
  <c r="S30"/>
  <c r="S31"/>
  <c r="S32"/>
  <c r="S33"/>
  <c r="S29"/>
  <c r="R29"/>
  <c r="R34"/>
  <c r="R30"/>
  <c r="R31"/>
  <c r="R32"/>
  <c r="R33"/>
  <c r="Q30"/>
  <c r="Q31"/>
  <c r="Q32"/>
  <c r="Q33"/>
  <c r="Q34"/>
  <c r="Q29"/>
  <c r="P30"/>
  <c r="P31"/>
  <c r="P32"/>
  <c r="P33"/>
  <c r="P34"/>
  <c r="P29"/>
  <c r="O30"/>
  <c r="O31"/>
  <c r="O32"/>
  <c r="O33"/>
  <c r="O34"/>
  <c r="O29"/>
  <c r="N34"/>
  <c r="N30"/>
  <c r="N31"/>
  <c r="N32"/>
  <c r="N33"/>
  <c r="N29"/>
  <c r="M34"/>
  <c r="M30"/>
  <c r="M31"/>
  <c r="M32"/>
  <c r="M33"/>
  <c r="M29"/>
  <c r="U17"/>
  <c r="U18"/>
  <c r="U19"/>
  <c r="U20"/>
  <c r="U21"/>
  <c r="U16"/>
  <c r="T17"/>
  <c r="T18"/>
  <c r="T19"/>
  <c r="T20"/>
  <c r="T21"/>
  <c r="T16"/>
  <c r="L30"/>
  <c r="L31"/>
  <c r="L32"/>
  <c r="L33"/>
  <c r="L34"/>
  <c r="V22"/>
  <c r="S17"/>
  <c r="S18"/>
  <c r="S19"/>
  <c r="S20"/>
  <c r="S21"/>
  <c r="S16"/>
  <c r="R17"/>
  <c r="R18"/>
  <c r="R19"/>
  <c r="R20"/>
  <c r="R21"/>
  <c r="R16"/>
  <c r="Q17"/>
  <c r="Q18"/>
  <c r="Q19"/>
  <c r="Q20"/>
  <c r="Q21"/>
  <c r="Q16"/>
  <c r="P17"/>
  <c r="P18"/>
  <c r="P19"/>
  <c r="P20"/>
  <c r="P21"/>
  <c r="P16"/>
  <c r="O17"/>
  <c r="O18"/>
  <c r="O19"/>
  <c r="O20"/>
  <c r="O21"/>
  <c r="O16"/>
  <c r="N17"/>
  <c r="N18"/>
  <c r="N19"/>
  <c r="N20"/>
  <c r="N21"/>
  <c r="N16"/>
  <c r="M17"/>
  <c r="M18"/>
  <c r="M19"/>
  <c r="M20"/>
  <c r="M21"/>
  <c r="M16"/>
  <c r="L18"/>
  <c r="L17"/>
  <c r="L19"/>
  <c r="L20"/>
  <c r="L21"/>
  <c r="L16"/>
  <c r="G138"/>
  <c r="G139" s="1"/>
  <c r="F138"/>
  <c r="F139" s="1"/>
  <c r="E138"/>
  <c r="E139" s="1"/>
  <c r="D138"/>
  <c r="D139" s="1"/>
  <c r="C138"/>
  <c r="C139" s="1"/>
  <c r="G137"/>
  <c r="F137"/>
  <c r="E137"/>
  <c r="D137"/>
  <c r="C137"/>
  <c r="G127"/>
  <c r="F127"/>
  <c r="E127"/>
  <c r="D127"/>
  <c r="C127"/>
  <c r="G117"/>
  <c r="F117"/>
  <c r="E117"/>
  <c r="D117"/>
  <c r="C117"/>
  <c r="G104"/>
  <c r="F104"/>
  <c r="E104"/>
  <c r="D104"/>
  <c r="C104"/>
  <c r="G94"/>
  <c r="G95" s="1"/>
  <c r="F94"/>
  <c r="F95" s="1"/>
  <c r="E94"/>
  <c r="E95" s="1"/>
  <c r="D94"/>
  <c r="D95" s="1"/>
  <c r="C94"/>
  <c r="C95" s="1"/>
  <c r="G93"/>
  <c r="F93"/>
  <c r="E93"/>
  <c r="D93"/>
  <c r="C93"/>
  <c r="G82"/>
  <c r="F82"/>
  <c r="E82"/>
  <c r="D82"/>
  <c r="C82"/>
  <c r="G71"/>
  <c r="F71"/>
  <c r="E71"/>
  <c r="D71"/>
  <c r="C71"/>
  <c r="G60"/>
  <c r="F60"/>
  <c r="E60"/>
  <c r="D60"/>
  <c r="C60"/>
  <c r="G48"/>
  <c r="G49" s="1"/>
  <c r="F48"/>
  <c r="F49" s="1"/>
  <c r="E48"/>
  <c r="E49" s="1"/>
  <c r="D48"/>
  <c r="D49" s="1"/>
  <c r="C48"/>
  <c r="C49" s="1"/>
  <c r="G47"/>
  <c r="F47"/>
  <c r="E47"/>
  <c r="D47"/>
  <c r="C47"/>
  <c r="G36"/>
  <c r="G37" s="1"/>
  <c r="F36"/>
  <c r="F37" s="1"/>
  <c r="E36"/>
  <c r="E37" s="1"/>
  <c r="D36"/>
  <c r="D37" s="1"/>
  <c r="C36"/>
  <c r="C37" s="1"/>
  <c r="G35"/>
  <c r="F35"/>
  <c r="E35"/>
  <c r="D35"/>
  <c r="C35"/>
  <c r="G23"/>
  <c r="G24" s="1"/>
  <c r="F23"/>
  <c r="F24" s="1"/>
  <c r="E23"/>
  <c r="E24" s="1"/>
  <c r="D23"/>
  <c r="D24" s="1"/>
  <c r="C23"/>
  <c r="C24" s="1"/>
  <c r="G22"/>
  <c r="F22"/>
  <c r="E22"/>
  <c r="D22"/>
  <c r="C22"/>
  <c r="P34" i="1"/>
  <c r="P33"/>
  <c r="O34"/>
  <c r="O33"/>
  <c r="N34"/>
  <c r="N33"/>
  <c r="M34"/>
  <c r="M33"/>
  <c r="L35"/>
  <c r="L34"/>
  <c r="L33"/>
  <c r="P32"/>
  <c r="P31"/>
  <c r="P30"/>
  <c r="P29"/>
  <c r="P28"/>
  <c r="P27"/>
  <c r="W72" i="4" l="1"/>
  <c r="V60" i="2"/>
  <c r="V61" s="1"/>
  <c r="V71"/>
  <c r="V72" s="1"/>
  <c r="V70"/>
  <c r="V59"/>
  <c r="V48"/>
  <c r="V49" s="1"/>
  <c r="V47"/>
  <c r="V23"/>
  <c r="V24" s="1"/>
  <c r="O137" i="1"/>
  <c r="M137"/>
  <c r="P136"/>
  <c r="P137" s="1"/>
  <c r="O136"/>
  <c r="N136"/>
  <c r="N137" s="1"/>
  <c r="M136"/>
  <c r="P135"/>
  <c r="O135"/>
  <c r="N135"/>
  <c r="M135"/>
  <c r="L135"/>
  <c r="M127"/>
  <c r="P126"/>
  <c r="P127" s="1"/>
  <c r="O126"/>
  <c r="O127" s="1"/>
  <c r="N126"/>
  <c r="N127" s="1"/>
  <c r="M126"/>
  <c r="P125"/>
  <c r="O125"/>
  <c r="N125"/>
  <c r="M125"/>
  <c r="M117"/>
  <c r="P116"/>
  <c r="P117" s="1"/>
  <c r="O116"/>
  <c r="O117" s="1"/>
  <c r="N116"/>
  <c r="N117" s="1"/>
  <c r="M116"/>
  <c r="P115"/>
  <c r="O115"/>
  <c r="N115"/>
  <c r="M115"/>
  <c r="M104"/>
  <c r="P103"/>
  <c r="P104" s="1"/>
  <c r="O103"/>
  <c r="O104" s="1"/>
  <c r="N103"/>
  <c r="N104" s="1"/>
  <c r="M103"/>
  <c r="P102"/>
  <c r="O102"/>
  <c r="N102"/>
  <c r="M102"/>
  <c r="M93"/>
  <c r="P92"/>
  <c r="P93" s="1"/>
  <c r="O92"/>
  <c r="O93" s="1"/>
  <c r="N92"/>
  <c r="N93" s="1"/>
  <c r="M92"/>
  <c r="L92"/>
  <c r="L93" s="1"/>
  <c r="P91"/>
  <c r="O91"/>
  <c r="N91"/>
  <c r="M91"/>
  <c r="L91"/>
  <c r="M82"/>
  <c r="P81"/>
  <c r="P82" s="1"/>
  <c r="O81"/>
  <c r="O82" s="1"/>
  <c r="N81"/>
  <c r="N82" s="1"/>
  <c r="M81"/>
  <c r="L81"/>
  <c r="L82" s="1"/>
  <c r="P80"/>
  <c r="O80"/>
  <c r="N80"/>
  <c r="M80"/>
  <c r="L80"/>
  <c r="M71"/>
  <c r="P70"/>
  <c r="P71" s="1"/>
  <c r="O70"/>
  <c r="O71" s="1"/>
  <c r="N70"/>
  <c r="N71" s="1"/>
  <c r="M70"/>
  <c r="L70"/>
  <c r="L71" s="1"/>
  <c r="P69"/>
  <c r="O69"/>
  <c r="N69"/>
  <c r="M69"/>
  <c r="L69"/>
  <c r="P60"/>
  <c r="L60"/>
  <c r="P59"/>
  <c r="O59"/>
  <c r="O60" s="1"/>
  <c r="N59"/>
  <c r="N60" s="1"/>
  <c r="M59"/>
  <c r="M60" s="1"/>
  <c r="L59"/>
  <c r="P58"/>
  <c r="O58"/>
  <c r="N58"/>
  <c r="M58"/>
  <c r="L58"/>
  <c r="M47"/>
  <c r="P46"/>
  <c r="P47" s="1"/>
  <c r="O46"/>
  <c r="O47" s="1"/>
  <c r="N46"/>
  <c r="N47" s="1"/>
  <c r="M46"/>
  <c r="L46"/>
  <c r="L47" s="1"/>
  <c r="P45"/>
  <c r="O45"/>
  <c r="N45"/>
  <c r="M45"/>
  <c r="L45"/>
  <c r="O35"/>
  <c r="N35"/>
  <c r="M35"/>
  <c r="P21"/>
  <c r="P22" s="1"/>
  <c r="O21"/>
  <c r="O22" s="1"/>
  <c r="N21"/>
  <c r="N22" s="1"/>
  <c r="M21"/>
  <c r="M22" s="1"/>
  <c r="P20"/>
  <c r="O20"/>
  <c r="N20"/>
  <c r="M20"/>
  <c r="L22"/>
  <c r="L21"/>
  <c r="L20"/>
  <c r="P134"/>
  <c r="O134"/>
  <c r="N134"/>
  <c r="M134"/>
  <c r="L134"/>
  <c r="L136" s="1"/>
  <c r="L137" s="1"/>
  <c r="P133"/>
  <c r="O133"/>
  <c r="N133"/>
  <c r="M133"/>
  <c r="L133"/>
  <c r="P132"/>
  <c r="O132"/>
  <c r="N132"/>
  <c r="M132"/>
  <c r="L132"/>
  <c r="P131"/>
  <c r="O131"/>
  <c r="N131"/>
  <c r="M131"/>
  <c r="L131"/>
  <c r="P130"/>
  <c r="O130"/>
  <c r="N130"/>
  <c r="M130"/>
  <c r="L130"/>
  <c r="P129"/>
  <c r="O129"/>
  <c r="N129"/>
  <c r="M129"/>
  <c r="L129"/>
  <c r="P124"/>
  <c r="O124"/>
  <c r="N124"/>
  <c r="M124"/>
  <c r="L124"/>
  <c r="L126" s="1"/>
  <c r="L127" s="1"/>
  <c r="P123"/>
  <c r="O123"/>
  <c r="N123"/>
  <c r="M123"/>
  <c r="L123"/>
  <c r="P122"/>
  <c r="O122"/>
  <c r="N122"/>
  <c r="M122"/>
  <c r="L122"/>
  <c r="P121"/>
  <c r="O121"/>
  <c r="N121"/>
  <c r="M121"/>
  <c r="L121"/>
  <c r="P120"/>
  <c r="O120"/>
  <c r="N120"/>
  <c r="M120"/>
  <c r="L120"/>
  <c r="P119"/>
  <c r="O119"/>
  <c r="N119"/>
  <c r="M119"/>
  <c r="L119"/>
  <c r="P114"/>
  <c r="O114"/>
  <c r="N114"/>
  <c r="M114"/>
  <c r="L114"/>
  <c r="L116" s="1"/>
  <c r="L117" s="1"/>
  <c r="P113"/>
  <c r="O113"/>
  <c r="N113"/>
  <c r="M113"/>
  <c r="L113"/>
  <c r="P112"/>
  <c r="O112"/>
  <c r="N112"/>
  <c r="M112"/>
  <c r="L112"/>
  <c r="P111"/>
  <c r="O111"/>
  <c r="N111"/>
  <c r="M111"/>
  <c r="L111"/>
  <c r="P110"/>
  <c r="O110"/>
  <c r="N110"/>
  <c r="M110"/>
  <c r="L110"/>
  <c r="P109"/>
  <c r="O109"/>
  <c r="N109"/>
  <c r="M109"/>
  <c r="L109"/>
  <c r="P101"/>
  <c r="O101"/>
  <c r="N101"/>
  <c r="M101"/>
  <c r="L101"/>
  <c r="P100"/>
  <c r="O100"/>
  <c r="N100"/>
  <c r="M100"/>
  <c r="P99"/>
  <c r="O99"/>
  <c r="N99"/>
  <c r="M99"/>
  <c r="L99"/>
  <c r="P98"/>
  <c r="O98"/>
  <c r="N98"/>
  <c r="M98"/>
  <c r="L98"/>
  <c r="P97"/>
  <c r="O97"/>
  <c r="N97"/>
  <c r="M97"/>
  <c r="L97"/>
  <c r="P96"/>
  <c r="O96"/>
  <c r="N96"/>
  <c r="M96"/>
  <c r="L96"/>
  <c r="P90"/>
  <c r="O90"/>
  <c r="N90"/>
  <c r="M90"/>
  <c r="L90"/>
  <c r="P89"/>
  <c r="O89"/>
  <c r="N89"/>
  <c r="M89"/>
  <c r="L89"/>
  <c r="P88"/>
  <c r="O88"/>
  <c r="N88"/>
  <c r="M88"/>
  <c r="L88"/>
  <c r="P87"/>
  <c r="O87"/>
  <c r="N87"/>
  <c r="M87"/>
  <c r="L87"/>
  <c r="P86"/>
  <c r="O86"/>
  <c r="N86"/>
  <c r="M86"/>
  <c r="L86"/>
  <c r="P85"/>
  <c r="O85"/>
  <c r="N85"/>
  <c r="M85"/>
  <c r="L85"/>
  <c r="P79"/>
  <c r="O79"/>
  <c r="N79"/>
  <c r="M79"/>
  <c r="L79"/>
  <c r="P78"/>
  <c r="O78"/>
  <c r="N78"/>
  <c r="M78"/>
  <c r="L78"/>
  <c r="P77"/>
  <c r="O77"/>
  <c r="N77"/>
  <c r="M77"/>
  <c r="L77"/>
  <c r="P76"/>
  <c r="O76"/>
  <c r="N76"/>
  <c r="M76"/>
  <c r="L76"/>
  <c r="P75"/>
  <c r="O75"/>
  <c r="N75"/>
  <c r="M75"/>
  <c r="L75"/>
  <c r="P74"/>
  <c r="O74"/>
  <c r="N74"/>
  <c r="M74"/>
  <c r="L74"/>
  <c r="P68"/>
  <c r="O68"/>
  <c r="N68"/>
  <c r="M68"/>
  <c r="L68"/>
  <c r="P67"/>
  <c r="O67"/>
  <c r="N67"/>
  <c r="M67"/>
  <c r="L67"/>
  <c r="P66"/>
  <c r="O66"/>
  <c r="N66"/>
  <c r="M66"/>
  <c r="L66"/>
  <c r="P65"/>
  <c r="O65"/>
  <c r="N65"/>
  <c r="M65"/>
  <c r="L65"/>
  <c r="P64"/>
  <c r="O64"/>
  <c r="N64"/>
  <c r="M64"/>
  <c r="L64"/>
  <c r="P63"/>
  <c r="O63"/>
  <c r="N63"/>
  <c r="M63"/>
  <c r="L63"/>
  <c r="P57"/>
  <c r="O57"/>
  <c r="N57"/>
  <c r="M57"/>
  <c r="L57"/>
  <c r="P56"/>
  <c r="O56"/>
  <c r="N56"/>
  <c r="M56"/>
  <c r="L56"/>
  <c r="P55"/>
  <c r="O55"/>
  <c r="N55"/>
  <c r="M55"/>
  <c r="L55"/>
  <c r="P54"/>
  <c r="O54"/>
  <c r="N54"/>
  <c r="M54"/>
  <c r="L54"/>
  <c r="P53"/>
  <c r="O53"/>
  <c r="N53"/>
  <c r="M53"/>
  <c r="L53"/>
  <c r="P52"/>
  <c r="O52"/>
  <c r="N52"/>
  <c r="M52"/>
  <c r="L52"/>
  <c r="P44"/>
  <c r="O44"/>
  <c r="N44"/>
  <c r="M44"/>
  <c r="L44"/>
  <c r="P43"/>
  <c r="O43"/>
  <c r="N43"/>
  <c r="M43"/>
  <c r="L43"/>
  <c r="P42"/>
  <c r="O42"/>
  <c r="N42"/>
  <c r="M42"/>
  <c r="L42"/>
  <c r="P41"/>
  <c r="O41"/>
  <c r="N41"/>
  <c r="M41"/>
  <c r="L41"/>
  <c r="P40"/>
  <c r="O40"/>
  <c r="N40"/>
  <c r="M40"/>
  <c r="L40"/>
  <c r="P39"/>
  <c r="O39"/>
  <c r="N39"/>
  <c r="M39"/>
  <c r="L39"/>
  <c r="O32"/>
  <c r="N32"/>
  <c r="M32"/>
  <c r="L32"/>
  <c r="O31"/>
  <c r="N31"/>
  <c r="M31"/>
  <c r="L31"/>
  <c r="O30"/>
  <c r="N30"/>
  <c r="M30"/>
  <c r="L30"/>
  <c r="O29"/>
  <c r="N29"/>
  <c r="M29"/>
  <c r="L29"/>
  <c r="O28"/>
  <c r="N28"/>
  <c r="M28"/>
  <c r="L28"/>
  <c r="O27"/>
  <c r="N27"/>
  <c r="M27"/>
  <c r="L27"/>
  <c r="P19"/>
  <c r="O19"/>
  <c r="N19"/>
  <c r="M19"/>
  <c r="L19"/>
  <c r="P18"/>
  <c r="O18"/>
  <c r="N18"/>
  <c r="M18"/>
  <c r="L18"/>
  <c r="P17"/>
  <c r="O17"/>
  <c r="N17"/>
  <c r="M17"/>
  <c r="L17"/>
  <c r="P16"/>
  <c r="O16"/>
  <c r="N16"/>
  <c r="M16"/>
  <c r="L16"/>
  <c r="P15"/>
  <c r="O15"/>
  <c r="N15"/>
  <c r="M15"/>
  <c r="L15"/>
  <c r="P14"/>
  <c r="O14"/>
  <c r="N14"/>
  <c r="M14"/>
  <c r="L14"/>
  <c r="L102" l="1"/>
  <c r="L125"/>
  <c r="L115"/>
  <c r="L103"/>
  <c r="L104" s="1"/>
  <c r="F149"/>
  <c r="E149"/>
  <c r="D149"/>
  <c r="C149"/>
  <c r="B149"/>
  <c r="F148"/>
  <c r="E148"/>
  <c r="D148"/>
  <c r="C148"/>
  <c r="B148"/>
  <c r="F147"/>
  <c r="E147"/>
  <c r="D147"/>
  <c r="C147"/>
  <c r="B147"/>
  <c r="F146"/>
  <c r="E146"/>
  <c r="D146"/>
  <c r="C146"/>
  <c r="B146"/>
  <c r="F145"/>
  <c r="E145"/>
  <c r="D145"/>
  <c r="C145"/>
  <c r="B145"/>
  <c r="F144"/>
  <c r="E144"/>
  <c r="D144"/>
  <c r="D150" s="1"/>
  <c r="C144"/>
  <c r="B144"/>
  <c r="G137"/>
  <c r="F136"/>
  <c r="F137" s="1"/>
  <c r="E136"/>
  <c r="E137" s="1"/>
  <c r="D136"/>
  <c r="D137" s="1"/>
  <c r="C136"/>
  <c r="C137" s="1"/>
  <c r="B136"/>
  <c r="B137" s="1"/>
  <c r="F135"/>
  <c r="E135"/>
  <c r="D135"/>
  <c r="C135"/>
  <c r="B135"/>
  <c r="F125"/>
  <c r="E125"/>
  <c r="D125"/>
  <c r="C125"/>
  <c r="B125"/>
  <c r="F115"/>
  <c r="E115"/>
  <c r="D115"/>
  <c r="C115"/>
  <c r="B115"/>
  <c r="F102"/>
  <c r="E102"/>
  <c r="D102"/>
  <c r="C102"/>
  <c r="B102"/>
  <c r="F92"/>
  <c r="F93" s="1"/>
  <c r="E92"/>
  <c r="E93" s="1"/>
  <c r="D92"/>
  <c r="D93" s="1"/>
  <c r="C92"/>
  <c r="C93" s="1"/>
  <c r="B92"/>
  <c r="B93" s="1"/>
  <c r="F91"/>
  <c r="E91"/>
  <c r="D91"/>
  <c r="C91"/>
  <c r="B91"/>
  <c r="F80"/>
  <c r="E80"/>
  <c r="D80"/>
  <c r="C80"/>
  <c r="B80"/>
  <c r="F69"/>
  <c r="E69"/>
  <c r="D69"/>
  <c r="C69"/>
  <c r="B69"/>
  <c r="F58"/>
  <c r="E58"/>
  <c r="D58"/>
  <c r="C58"/>
  <c r="B58"/>
  <c r="F46"/>
  <c r="F47" s="1"/>
  <c r="E46"/>
  <c r="E47" s="1"/>
  <c r="D46"/>
  <c r="D47" s="1"/>
  <c r="C46"/>
  <c r="C47" s="1"/>
  <c r="B46"/>
  <c r="B47" s="1"/>
  <c r="F45"/>
  <c r="E45"/>
  <c r="D45"/>
  <c r="C45"/>
  <c r="B45"/>
  <c r="B35"/>
  <c r="F34"/>
  <c r="F35" s="1"/>
  <c r="E34"/>
  <c r="E35" s="1"/>
  <c r="D34"/>
  <c r="D35" s="1"/>
  <c r="C34"/>
  <c r="C35" s="1"/>
  <c r="B34"/>
  <c r="F33"/>
  <c r="P35" s="1"/>
  <c r="E33"/>
  <c r="D33"/>
  <c r="C33"/>
  <c r="B33"/>
  <c r="E22"/>
  <c r="F21"/>
  <c r="F22" s="1"/>
  <c r="E21"/>
  <c r="D21"/>
  <c r="D22" s="1"/>
  <c r="C21"/>
  <c r="C22" s="1"/>
  <c r="B21"/>
  <c r="B22" s="1"/>
  <c r="F20"/>
  <c r="E20"/>
  <c r="D20"/>
  <c r="C20"/>
  <c r="B20"/>
  <c r="E150" l="1"/>
  <c r="B150"/>
  <c r="F150"/>
  <c r="C150"/>
</calcChain>
</file>

<file path=xl/sharedStrings.xml><?xml version="1.0" encoding="utf-8"?>
<sst xmlns="http://schemas.openxmlformats.org/spreadsheetml/2006/main" count="550" uniqueCount="100">
  <si>
    <t>fecha de montaje31 may0 del 2021</t>
  </si>
  <si>
    <t>tratmientos</t>
  </si>
  <si>
    <t>t1- control con solucion nutritiva</t>
  </si>
  <si>
    <t>T2- PEG +SN</t>
  </si>
  <si>
    <t>T3-PEG 6OOO 15% =1uM ml -1 EASp2</t>
  </si>
  <si>
    <t>t4- PEG 6000 15 % + 0.5uM ml EASp 2</t>
  </si>
  <si>
    <t>t5- PEG 6000 15% +  0.1              EASp2</t>
  </si>
  <si>
    <t>EASp2-10g/100ml  10 dias ETOH 70 %</t>
  </si>
  <si>
    <t>DIA 1DE JUNIO 6 DE LA TARDE</t>
  </si>
  <si>
    <t>T1</t>
  </si>
  <si>
    <t>T2</t>
  </si>
  <si>
    <t>T3</t>
  </si>
  <si>
    <t>T4</t>
  </si>
  <si>
    <t>T5</t>
  </si>
  <si>
    <t>T1.1</t>
  </si>
  <si>
    <t>T1.2</t>
  </si>
  <si>
    <t>T1.3</t>
  </si>
  <si>
    <t>T1.4</t>
  </si>
  <si>
    <t>T1.5</t>
  </si>
  <si>
    <t>T 1.6</t>
  </si>
  <si>
    <t>PROM</t>
  </si>
  <si>
    <t>DESVEST</t>
  </si>
  <si>
    <t>INTERV CONF</t>
  </si>
  <si>
    <t>DIA 2 DE JUNIO 6 de la manana</t>
  </si>
  <si>
    <t>t1</t>
  </si>
  <si>
    <t>t2</t>
  </si>
  <si>
    <t>t3</t>
  </si>
  <si>
    <t>t4</t>
  </si>
  <si>
    <t>t5</t>
  </si>
  <si>
    <t>promedio</t>
  </si>
  <si>
    <t>desvest</t>
  </si>
  <si>
    <t xml:space="preserve">interv conf </t>
  </si>
  <si>
    <t>dia  2 de junio 6 de la tarde</t>
  </si>
  <si>
    <t>prom</t>
  </si>
  <si>
    <t>interv con f</t>
  </si>
  <si>
    <t>dia 3 de junio 6de la manana</t>
  </si>
  <si>
    <t>dia 3 dejunio 6 de la tarde</t>
  </si>
  <si>
    <t xml:space="preserve">dia 4 de ;la manana </t>
  </si>
  <si>
    <t>dia 4 evaluacion seis dela tarde</t>
  </si>
  <si>
    <t xml:space="preserve">t1  </t>
  </si>
  <si>
    <t>interv</t>
  </si>
  <si>
    <t>dia 5 de junio 6 de la manana</t>
  </si>
  <si>
    <t>dia 5 jynio 6 de la tarde</t>
  </si>
  <si>
    <t xml:space="preserve">dia 6 en la manana </t>
  </si>
  <si>
    <t>dia 6 en la tarde</t>
  </si>
  <si>
    <t>interv conf</t>
  </si>
  <si>
    <t>masa seca t1</t>
  </si>
  <si>
    <t>PROMEDIO</t>
  </si>
  <si>
    <t>24 horas</t>
  </si>
  <si>
    <t>36 horas</t>
  </si>
  <si>
    <t>48 horas</t>
  </si>
  <si>
    <t>60 horas</t>
  </si>
  <si>
    <t>72 horas</t>
  </si>
  <si>
    <t>84 horas</t>
  </si>
  <si>
    <t>96 horas</t>
  </si>
  <si>
    <t>108 horas</t>
  </si>
  <si>
    <t>120 horas</t>
  </si>
  <si>
    <t>132 horas</t>
  </si>
  <si>
    <t>144  horas</t>
  </si>
  <si>
    <t>Media</t>
  </si>
  <si>
    <t>Desv.Std.</t>
  </si>
  <si>
    <t>Int. Conf.</t>
  </si>
  <si>
    <t>Porcentaje de germinación</t>
  </si>
  <si>
    <t>Horas</t>
  </si>
  <si>
    <t>Intervalos de confianza</t>
  </si>
  <si>
    <t>Porcentajes de germinación</t>
  </si>
  <si>
    <t>Dinámica de los porcentajes de germinación de las semillas</t>
  </si>
  <si>
    <t>36 h</t>
  </si>
  <si>
    <t>48h</t>
  </si>
  <si>
    <t>60h</t>
  </si>
  <si>
    <t>72h</t>
  </si>
  <si>
    <t>84h</t>
  </si>
  <si>
    <t>96h</t>
  </si>
  <si>
    <t>108h</t>
  </si>
  <si>
    <t>120h</t>
  </si>
  <si>
    <t>sumatoria</t>
  </si>
  <si>
    <t>o tasa de germinacion</t>
  </si>
  <si>
    <t>24h</t>
  </si>
  <si>
    <t>IC</t>
  </si>
  <si>
    <t>Control</t>
  </si>
  <si>
    <t>PEG</t>
  </si>
  <si>
    <r>
      <t xml:space="preserve">PEG + 1,0 </t>
    </r>
    <r>
      <rPr>
        <sz val="11"/>
        <color rgb="FF000000"/>
        <rFont val="Calibri"/>
        <charset val="1"/>
      </rPr>
      <t>E2</t>
    </r>
  </si>
  <si>
    <t>PEG + 0,5 E2</t>
  </si>
  <si>
    <t>PEG + 0,1 E2</t>
  </si>
  <si>
    <t>(GI) = Σ (Gt/Tt)</t>
  </si>
  <si>
    <t xml:space="preserve">velocidad de germinacion </t>
  </si>
  <si>
    <t xml:space="preserve">tiempo medio de germinacion </t>
  </si>
  <si>
    <t>MGT = ∑(D × n)/∑n</t>
  </si>
  <si>
    <t xml:space="preserve">sumatoria/∑n </t>
  </si>
  <si>
    <t>recíproco</t>
  </si>
  <si>
    <t>tiempo medio de germinacion</t>
  </si>
  <si>
    <t xml:space="preserve">tasa de germinacion </t>
  </si>
  <si>
    <t>tasa de germinacion</t>
  </si>
  <si>
    <t>Índice de vigor (VI) = masa seca G%,</t>
  </si>
  <si>
    <t xml:space="preserve">Porcentaje final de germinacion </t>
  </si>
  <si>
    <t>Masa seca</t>
  </si>
  <si>
    <t xml:space="preserve">Indice de vigor </t>
  </si>
  <si>
    <r>
      <t xml:space="preserve">PEG + 1,0 </t>
    </r>
    <r>
      <rPr>
        <sz val="11"/>
        <color rgb="FF000000"/>
        <rFont val="Calibri"/>
        <charset val="1"/>
      </rPr>
      <t>ESp2</t>
    </r>
  </si>
  <si>
    <t>PEG + 0,5 ESp2</t>
  </si>
  <si>
    <t>PEG + 0,1 ESp2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</si>
</sst>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0"/>
  </numFmts>
  <fonts count="6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Font="1" applyBorder="1" applyAlignment="1"/>
    <xf numFmtId="1" fontId="0" fillId="0" borderId="0" xfId="0" applyNumberFormat="1" applyFont="1" applyBorder="1" applyAlignment="1"/>
    <xf numFmtId="1" fontId="0" fillId="2" borderId="0" xfId="0" applyNumberFormat="1" applyFont="1" applyFill="1" applyBorder="1" applyAlignment="1"/>
    <xf numFmtId="0" fontId="0" fillId="2" borderId="0" xfId="0" applyFill="1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165" fontId="0" fillId="0" borderId="0" xfId="0" applyNumberFormat="1"/>
    <xf numFmtId="165" fontId="0" fillId="0" borderId="0" xfId="0" applyNumberFormat="1" applyFont="1" applyBorder="1" applyAlignme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layoutTarget val="inner"/>
          <c:xMode val="edge"/>
          <c:yMode val="edge"/>
          <c:x val="0.10671062992126008"/>
          <c:y val="7.4501663429185128E-2"/>
          <c:w val="0.75733092738407792"/>
          <c:h val="0.79835238177120427"/>
        </c:manualLayout>
      </c:layout>
      <c:lineChart>
        <c:grouping val="standard"/>
        <c:ser>
          <c:idx val="0"/>
          <c:order val="0"/>
          <c:tx>
            <c:strRef>
              <c:f>'dinamica de germ'!$U$13</c:f>
              <c:strCache>
                <c:ptCount val="1"/>
                <c:pt idx="0">
                  <c:v>Control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'dinamica de germ'!$AC$14:$AC$24</c:f>
                <c:numCache>
                  <c:formatCode>General</c:formatCode>
                  <c:ptCount val="11"/>
                  <c:pt idx="0">
                    <c:v>8</c:v>
                  </c:pt>
                  <c:pt idx="1">
                    <c:v>4.3</c:v>
                  </c:pt>
                  <c:pt idx="2">
                    <c:v>2.8</c:v>
                  </c:pt>
                  <c:pt idx="3">
                    <c:v>4</c:v>
                  </c:pt>
                  <c:pt idx="4">
                    <c:v>3.4</c:v>
                  </c:pt>
                  <c:pt idx="5">
                    <c:v>4</c:v>
                  </c:pt>
                  <c:pt idx="6">
                    <c:v>5.5</c:v>
                  </c:pt>
                  <c:pt idx="7">
                    <c:v>5.5</c:v>
                  </c:pt>
                  <c:pt idx="8">
                    <c:v>5.5</c:v>
                  </c:pt>
                  <c:pt idx="9">
                    <c:v>5.5</c:v>
                  </c:pt>
                  <c:pt idx="10">
                    <c:v>5.5</c:v>
                  </c:pt>
                </c:numCache>
              </c:numRef>
            </c:plus>
            <c:minus>
              <c:numRef>
                <c:f>'dinamica de germ'!$AC$14:$AC$24</c:f>
                <c:numCache>
                  <c:formatCode>General</c:formatCode>
                  <c:ptCount val="11"/>
                  <c:pt idx="0">
                    <c:v>8</c:v>
                  </c:pt>
                  <c:pt idx="1">
                    <c:v>4.3</c:v>
                  </c:pt>
                  <c:pt idx="2">
                    <c:v>2.8</c:v>
                  </c:pt>
                  <c:pt idx="3">
                    <c:v>4</c:v>
                  </c:pt>
                  <c:pt idx="4">
                    <c:v>3.4</c:v>
                  </c:pt>
                  <c:pt idx="5">
                    <c:v>4</c:v>
                  </c:pt>
                  <c:pt idx="6">
                    <c:v>5.5</c:v>
                  </c:pt>
                  <c:pt idx="7">
                    <c:v>5.5</c:v>
                  </c:pt>
                  <c:pt idx="8">
                    <c:v>5.5</c:v>
                  </c:pt>
                  <c:pt idx="9">
                    <c:v>5.5</c:v>
                  </c:pt>
                  <c:pt idx="10">
                    <c:v>5.5</c:v>
                  </c:pt>
                </c:numCache>
              </c:numRef>
            </c:minus>
          </c:errBars>
          <c:cat>
            <c:numRef>
              <c:f>'dinamica de germ'!$T$14:$T$24</c:f>
              <c:numCache>
                <c:formatCode>General</c:formatCode>
                <c:ptCount val="11"/>
                <c:pt idx="0">
                  <c:v>24</c:v>
                </c:pt>
                <c:pt idx="1">
                  <c:v>36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  <c:pt idx="5">
                  <c:v>84</c:v>
                </c:pt>
                <c:pt idx="6">
                  <c:v>96</c:v>
                </c:pt>
                <c:pt idx="7">
                  <c:v>108</c:v>
                </c:pt>
                <c:pt idx="8">
                  <c:v>120</c:v>
                </c:pt>
                <c:pt idx="9">
                  <c:v>132</c:v>
                </c:pt>
                <c:pt idx="10">
                  <c:v>144</c:v>
                </c:pt>
              </c:numCache>
            </c:numRef>
          </c:cat>
          <c:val>
            <c:numRef>
              <c:f>'dinamica de germ'!$U$14:$U$24</c:f>
              <c:numCache>
                <c:formatCode>General</c:formatCode>
                <c:ptCount val="11"/>
                <c:pt idx="0">
                  <c:v>31.1</c:v>
                </c:pt>
                <c:pt idx="1">
                  <c:v>36.1</c:v>
                </c:pt>
                <c:pt idx="2">
                  <c:v>57.8</c:v>
                </c:pt>
                <c:pt idx="3">
                  <c:v>65.599999999999994</c:v>
                </c:pt>
                <c:pt idx="4">
                  <c:v>66.7</c:v>
                </c:pt>
                <c:pt idx="5">
                  <c:v>67.8</c:v>
                </c:pt>
                <c:pt idx="6">
                  <c:v>71.099999999999994</c:v>
                </c:pt>
                <c:pt idx="7">
                  <c:v>71.099999999999994</c:v>
                </c:pt>
                <c:pt idx="8">
                  <c:v>71.099999999999994</c:v>
                </c:pt>
                <c:pt idx="9">
                  <c:v>71.099999999999994</c:v>
                </c:pt>
                <c:pt idx="10">
                  <c:v>71.099999999999994</c:v>
                </c:pt>
              </c:numCache>
            </c:numRef>
          </c:val>
        </c:ser>
        <c:ser>
          <c:idx val="1"/>
          <c:order val="1"/>
          <c:tx>
            <c:strRef>
              <c:f>'dinamica de germ'!$V$13</c:f>
              <c:strCache>
                <c:ptCount val="1"/>
                <c:pt idx="0">
                  <c:v>PEG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'dinamica de germ'!$AD$14:$AD$24</c:f>
                <c:numCache>
                  <c:formatCode>General</c:formatCode>
                  <c:ptCount val="11"/>
                  <c:pt idx="0">
                    <c:v>2.2000000000000002</c:v>
                  </c:pt>
                  <c:pt idx="1">
                    <c:v>4.3</c:v>
                  </c:pt>
                  <c:pt idx="2">
                    <c:v>6.7</c:v>
                  </c:pt>
                  <c:pt idx="3">
                    <c:v>5.6</c:v>
                  </c:pt>
                  <c:pt idx="4">
                    <c:v>4.8</c:v>
                  </c:pt>
                  <c:pt idx="5">
                    <c:v>4.4000000000000004</c:v>
                  </c:pt>
                  <c:pt idx="6">
                    <c:v>4.4000000000000004</c:v>
                  </c:pt>
                  <c:pt idx="7">
                    <c:v>4.4000000000000004</c:v>
                  </c:pt>
                  <c:pt idx="8">
                    <c:v>4.4000000000000004</c:v>
                  </c:pt>
                  <c:pt idx="9">
                    <c:v>4.4000000000000004</c:v>
                  </c:pt>
                  <c:pt idx="10">
                    <c:v>4.4000000000000004</c:v>
                  </c:pt>
                </c:numCache>
              </c:numRef>
            </c:plus>
            <c:minus>
              <c:numRef>
                <c:f>'dinamica de germ'!$AD$14:$AD$24</c:f>
                <c:numCache>
                  <c:formatCode>General</c:formatCode>
                  <c:ptCount val="11"/>
                  <c:pt idx="0">
                    <c:v>2.2000000000000002</c:v>
                  </c:pt>
                  <c:pt idx="1">
                    <c:v>4.3</c:v>
                  </c:pt>
                  <c:pt idx="2">
                    <c:v>6.7</c:v>
                  </c:pt>
                  <c:pt idx="3">
                    <c:v>5.6</c:v>
                  </c:pt>
                  <c:pt idx="4">
                    <c:v>4.8</c:v>
                  </c:pt>
                  <c:pt idx="5">
                    <c:v>4.4000000000000004</c:v>
                  </c:pt>
                  <c:pt idx="6">
                    <c:v>4.4000000000000004</c:v>
                  </c:pt>
                  <c:pt idx="7">
                    <c:v>4.4000000000000004</c:v>
                  </c:pt>
                  <c:pt idx="8">
                    <c:v>4.4000000000000004</c:v>
                  </c:pt>
                  <c:pt idx="9">
                    <c:v>4.4000000000000004</c:v>
                  </c:pt>
                  <c:pt idx="10">
                    <c:v>4.4000000000000004</c:v>
                  </c:pt>
                </c:numCache>
              </c:numRef>
            </c:minus>
          </c:errBars>
          <c:cat>
            <c:numRef>
              <c:f>'dinamica de germ'!$T$14:$T$24</c:f>
              <c:numCache>
                <c:formatCode>General</c:formatCode>
                <c:ptCount val="11"/>
                <c:pt idx="0">
                  <c:v>24</c:v>
                </c:pt>
                <c:pt idx="1">
                  <c:v>36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  <c:pt idx="5">
                  <c:v>84</c:v>
                </c:pt>
                <c:pt idx="6">
                  <c:v>96</c:v>
                </c:pt>
                <c:pt idx="7">
                  <c:v>108</c:v>
                </c:pt>
                <c:pt idx="8">
                  <c:v>120</c:v>
                </c:pt>
                <c:pt idx="9">
                  <c:v>132</c:v>
                </c:pt>
                <c:pt idx="10">
                  <c:v>144</c:v>
                </c:pt>
              </c:numCache>
            </c:numRef>
          </c:cat>
          <c:val>
            <c:numRef>
              <c:f>'dinamica de germ'!$V$14:$V$24</c:f>
              <c:numCache>
                <c:formatCode>General</c:formatCode>
                <c:ptCount val="11"/>
                <c:pt idx="0">
                  <c:v>21.1</c:v>
                </c:pt>
                <c:pt idx="1">
                  <c:v>24.1</c:v>
                </c:pt>
                <c:pt idx="2">
                  <c:v>60</c:v>
                </c:pt>
                <c:pt idx="3">
                  <c:v>63.3</c:v>
                </c:pt>
                <c:pt idx="4">
                  <c:v>66.7</c:v>
                </c:pt>
                <c:pt idx="5">
                  <c:v>71.099999999999994</c:v>
                </c:pt>
                <c:pt idx="6">
                  <c:v>71.099999999999994</c:v>
                </c:pt>
                <c:pt idx="7">
                  <c:v>71.099999999999994</c:v>
                </c:pt>
                <c:pt idx="8">
                  <c:v>71.099999999999994</c:v>
                </c:pt>
                <c:pt idx="9">
                  <c:v>71.099999999999994</c:v>
                </c:pt>
                <c:pt idx="10">
                  <c:v>71.099999999999994</c:v>
                </c:pt>
              </c:numCache>
            </c:numRef>
          </c:val>
        </c:ser>
        <c:ser>
          <c:idx val="2"/>
          <c:order val="2"/>
          <c:tx>
            <c:strRef>
              <c:f>'dinamica de germ'!$W$13</c:f>
              <c:strCache>
                <c:ptCount val="1"/>
                <c:pt idx="0">
                  <c:v>PEG + 1,0 ESp2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'dinamica de germ'!$AE$14:$AE$24</c:f>
                <c:numCache>
                  <c:formatCode>General</c:formatCode>
                  <c:ptCount val="11"/>
                  <c:pt idx="0">
                    <c:v>7.9</c:v>
                  </c:pt>
                  <c:pt idx="1">
                    <c:v>7.8</c:v>
                  </c:pt>
                  <c:pt idx="2">
                    <c:v>2.2000000000000002</c:v>
                  </c:pt>
                  <c:pt idx="3">
                    <c:v>2.8</c:v>
                  </c:pt>
                  <c:pt idx="4">
                    <c:v>2.8</c:v>
                  </c:pt>
                  <c:pt idx="5">
                    <c:v>3.4</c:v>
                  </c:pt>
                  <c:pt idx="6">
                    <c:v>4.4000000000000004</c:v>
                  </c:pt>
                  <c:pt idx="7">
                    <c:v>4.4000000000000004</c:v>
                  </c:pt>
                  <c:pt idx="8">
                    <c:v>4.4000000000000004</c:v>
                  </c:pt>
                  <c:pt idx="9">
                    <c:v>4.4000000000000004</c:v>
                  </c:pt>
                  <c:pt idx="10">
                    <c:v>4.4000000000000004</c:v>
                  </c:pt>
                </c:numCache>
              </c:numRef>
            </c:plus>
            <c:minus>
              <c:numRef>
                <c:f>'dinamica de germ'!$AE$14:$AE$24</c:f>
                <c:numCache>
                  <c:formatCode>General</c:formatCode>
                  <c:ptCount val="11"/>
                  <c:pt idx="0">
                    <c:v>7.9</c:v>
                  </c:pt>
                  <c:pt idx="1">
                    <c:v>7.8</c:v>
                  </c:pt>
                  <c:pt idx="2">
                    <c:v>2.2000000000000002</c:v>
                  </c:pt>
                  <c:pt idx="3">
                    <c:v>2.8</c:v>
                  </c:pt>
                  <c:pt idx="4">
                    <c:v>2.8</c:v>
                  </c:pt>
                  <c:pt idx="5">
                    <c:v>3.4</c:v>
                  </c:pt>
                  <c:pt idx="6">
                    <c:v>4.4000000000000004</c:v>
                  </c:pt>
                  <c:pt idx="7">
                    <c:v>4.4000000000000004</c:v>
                  </c:pt>
                  <c:pt idx="8">
                    <c:v>4.4000000000000004</c:v>
                  </c:pt>
                  <c:pt idx="9">
                    <c:v>4.4000000000000004</c:v>
                  </c:pt>
                  <c:pt idx="10">
                    <c:v>4.4000000000000004</c:v>
                  </c:pt>
                </c:numCache>
              </c:numRef>
            </c:minus>
          </c:errBars>
          <c:cat>
            <c:numRef>
              <c:f>'dinamica de germ'!$T$14:$T$24</c:f>
              <c:numCache>
                <c:formatCode>General</c:formatCode>
                <c:ptCount val="11"/>
                <c:pt idx="0">
                  <c:v>24</c:v>
                </c:pt>
                <c:pt idx="1">
                  <c:v>36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  <c:pt idx="5">
                  <c:v>84</c:v>
                </c:pt>
                <c:pt idx="6">
                  <c:v>96</c:v>
                </c:pt>
                <c:pt idx="7">
                  <c:v>108</c:v>
                </c:pt>
                <c:pt idx="8">
                  <c:v>120</c:v>
                </c:pt>
                <c:pt idx="9">
                  <c:v>132</c:v>
                </c:pt>
                <c:pt idx="10">
                  <c:v>144</c:v>
                </c:pt>
              </c:numCache>
            </c:numRef>
          </c:cat>
          <c:val>
            <c:numRef>
              <c:f>'dinamica de germ'!$W$14:$W$24</c:f>
              <c:numCache>
                <c:formatCode>General</c:formatCode>
                <c:ptCount val="11"/>
                <c:pt idx="0">
                  <c:v>41.1</c:v>
                </c:pt>
                <c:pt idx="1">
                  <c:v>41.3</c:v>
                </c:pt>
                <c:pt idx="2">
                  <c:v>65.599999999999994</c:v>
                </c:pt>
                <c:pt idx="3">
                  <c:v>64.400000000000006</c:v>
                </c:pt>
                <c:pt idx="4">
                  <c:v>64.400000000000006</c:v>
                </c:pt>
                <c:pt idx="5">
                  <c:v>66.7</c:v>
                </c:pt>
                <c:pt idx="6">
                  <c:v>68.900000000000006</c:v>
                </c:pt>
                <c:pt idx="7">
                  <c:v>68.900000000000006</c:v>
                </c:pt>
                <c:pt idx="8">
                  <c:v>68.900000000000006</c:v>
                </c:pt>
                <c:pt idx="9">
                  <c:v>68.900000000000006</c:v>
                </c:pt>
                <c:pt idx="10">
                  <c:v>68.900000000000006</c:v>
                </c:pt>
              </c:numCache>
            </c:numRef>
          </c:val>
        </c:ser>
        <c:ser>
          <c:idx val="3"/>
          <c:order val="3"/>
          <c:tx>
            <c:strRef>
              <c:f>'dinamica de germ'!$X$13</c:f>
              <c:strCache>
                <c:ptCount val="1"/>
                <c:pt idx="0">
                  <c:v>PEG + 0,5 ESp2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'dinamica de germ'!$AF$14:$AF$24</c:f>
                <c:numCache>
                  <c:formatCode>General</c:formatCode>
                  <c:ptCount val="11"/>
                  <c:pt idx="0">
                    <c:v>4</c:v>
                  </c:pt>
                  <c:pt idx="1">
                    <c:v>4.8</c:v>
                  </c:pt>
                  <c:pt idx="2">
                    <c:v>7.4</c:v>
                  </c:pt>
                  <c:pt idx="3">
                    <c:v>5.2</c:v>
                  </c:pt>
                  <c:pt idx="4">
                    <c:v>5.5</c:v>
                  </c:pt>
                  <c:pt idx="5">
                    <c:v>4.4000000000000004</c:v>
                  </c:pt>
                  <c:pt idx="6">
                    <c:v>4.4000000000000004</c:v>
                  </c:pt>
                  <c:pt idx="7">
                    <c:v>4.5</c:v>
                  </c:pt>
                  <c:pt idx="8">
                    <c:v>4.5</c:v>
                  </c:pt>
                  <c:pt idx="9">
                    <c:v>4.5</c:v>
                  </c:pt>
                  <c:pt idx="10">
                    <c:v>4.5</c:v>
                  </c:pt>
                </c:numCache>
              </c:numRef>
            </c:plus>
            <c:minus>
              <c:numRef>
                <c:f>'dinamica de germ'!$AF$14:$AF$24</c:f>
                <c:numCache>
                  <c:formatCode>General</c:formatCode>
                  <c:ptCount val="11"/>
                  <c:pt idx="0">
                    <c:v>4</c:v>
                  </c:pt>
                  <c:pt idx="1">
                    <c:v>4.8</c:v>
                  </c:pt>
                  <c:pt idx="2">
                    <c:v>7.4</c:v>
                  </c:pt>
                  <c:pt idx="3">
                    <c:v>5.2</c:v>
                  </c:pt>
                  <c:pt idx="4">
                    <c:v>5.5</c:v>
                  </c:pt>
                  <c:pt idx="5">
                    <c:v>4.4000000000000004</c:v>
                  </c:pt>
                  <c:pt idx="6">
                    <c:v>4.4000000000000004</c:v>
                  </c:pt>
                  <c:pt idx="7">
                    <c:v>4.5</c:v>
                  </c:pt>
                  <c:pt idx="8">
                    <c:v>4.5</c:v>
                  </c:pt>
                  <c:pt idx="9">
                    <c:v>4.5</c:v>
                  </c:pt>
                  <c:pt idx="10">
                    <c:v>4.5</c:v>
                  </c:pt>
                </c:numCache>
              </c:numRef>
            </c:minus>
          </c:errBars>
          <c:cat>
            <c:numRef>
              <c:f>'dinamica de germ'!$T$14:$T$24</c:f>
              <c:numCache>
                <c:formatCode>General</c:formatCode>
                <c:ptCount val="11"/>
                <c:pt idx="0">
                  <c:v>24</c:v>
                </c:pt>
                <c:pt idx="1">
                  <c:v>36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  <c:pt idx="5">
                  <c:v>84</c:v>
                </c:pt>
                <c:pt idx="6">
                  <c:v>96</c:v>
                </c:pt>
                <c:pt idx="7">
                  <c:v>108</c:v>
                </c:pt>
                <c:pt idx="8">
                  <c:v>120</c:v>
                </c:pt>
                <c:pt idx="9">
                  <c:v>132</c:v>
                </c:pt>
                <c:pt idx="10">
                  <c:v>144</c:v>
                </c:pt>
              </c:numCache>
            </c:numRef>
          </c:cat>
          <c:val>
            <c:numRef>
              <c:f>'dinamica de germ'!$X$14:$X$24</c:f>
              <c:numCache>
                <c:formatCode>General</c:formatCode>
                <c:ptCount val="11"/>
                <c:pt idx="0">
                  <c:v>38.9</c:v>
                </c:pt>
                <c:pt idx="1">
                  <c:v>40</c:v>
                </c:pt>
                <c:pt idx="2">
                  <c:v>56.7</c:v>
                </c:pt>
                <c:pt idx="3">
                  <c:v>65.599999999999994</c:v>
                </c:pt>
                <c:pt idx="4">
                  <c:v>65.599999999999994</c:v>
                </c:pt>
                <c:pt idx="5">
                  <c:v>68.900000000000006</c:v>
                </c:pt>
                <c:pt idx="6">
                  <c:v>68.900000000000006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</c:numCache>
            </c:numRef>
          </c:val>
        </c:ser>
        <c:ser>
          <c:idx val="4"/>
          <c:order val="4"/>
          <c:tx>
            <c:strRef>
              <c:f>'dinamica de germ'!$Y$13</c:f>
              <c:strCache>
                <c:ptCount val="1"/>
                <c:pt idx="0">
                  <c:v>PEG + 0,1 ESp2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'dinamica de germ'!$AG$14:$AG$24</c:f>
                <c:numCache>
                  <c:formatCode>General</c:formatCode>
                  <c:ptCount val="11"/>
                  <c:pt idx="0">
                    <c:v>8.8000000000000007</c:v>
                  </c:pt>
                  <c:pt idx="1">
                    <c:v>8.5</c:v>
                  </c:pt>
                  <c:pt idx="2">
                    <c:v>6.2</c:v>
                  </c:pt>
                  <c:pt idx="3">
                    <c:v>5.5</c:v>
                  </c:pt>
                  <c:pt idx="4">
                    <c:v>4.5</c:v>
                  </c:pt>
                  <c:pt idx="5">
                    <c:v>4.5</c:v>
                  </c:pt>
                  <c:pt idx="6">
                    <c:v>4</c:v>
                  </c:pt>
                  <c:pt idx="7">
                    <c:v>5.5</c:v>
                  </c:pt>
                  <c:pt idx="8">
                    <c:v>3.4</c:v>
                  </c:pt>
                  <c:pt idx="9">
                    <c:v>3.4</c:v>
                  </c:pt>
                  <c:pt idx="10">
                    <c:v>3.4</c:v>
                  </c:pt>
                </c:numCache>
              </c:numRef>
            </c:plus>
            <c:minus>
              <c:numRef>
                <c:f>'dinamica de germ'!$AG$14:$AG$24</c:f>
                <c:numCache>
                  <c:formatCode>General</c:formatCode>
                  <c:ptCount val="11"/>
                  <c:pt idx="0">
                    <c:v>8.8000000000000007</c:v>
                  </c:pt>
                  <c:pt idx="1">
                    <c:v>8.5</c:v>
                  </c:pt>
                  <c:pt idx="2">
                    <c:v>6.2</c:v>
                  </c:pt>
                  <c:pt idx="3">
                    <c:v>5.5</c:v>
                  </c:pt>
                  <c:pt idx="4">
                    <c:v>4.5</c:v>
                  </c:pt>
                  <c:pt idx="5">
                    <c:v>4.5</c:v>
                  </c:pt>
                  <c:pt idx="6">
                    <c:v>4</c:v>
                  </c:pt>
                  <c:pt idx="7">
                    <c:v>5.5</c:v>
                  </c:pt>
                  <c:pt idx="8">
                    <c:v>3.4</c:v>
                  </c:pt>
                  <c:pt idx="9">
                    <c:v>3.4</c:v>
                  </c:pt>
                  <c:pt idx="10">
                    <c:v>3.4</c:v>
                  </c:pt>
                </c:numCache>
              </c:numRef>
            </c:minus>
          </c:errBars>
          <c:cat>
            <c:numRef>
              <c:f>'dinamica de germ'!$T$14:$T$24</c:f>
              <c:numCache>
                <c:formatCode>General</c:formatCode>
                <c:ptCount val="11"/>
                <c:pt idx="0">
                  <c:v>24</c:v>
                </c:pt>
                <c:pt idx="1">
                  <c:v>36</c:v>
                </c:pt>
                <c:pt idx="2">
                  <c:v>48</c:v>
                </c:pt>
                <c:pt idx="3">
                  <c:v>60</c:v>
                </c:pt>
                <c:pt idx="4">
                  <c:v>72</c:v>
                </c:pt>
                <c:pt idx="5">
                  <c:v>84</c:v>
                </c:pt>
                <c:pt idx="6">
                  <c:v>96</c:v>
                </c:pt>
                <c:pt idx="7">
                  <c:v>108</c:v>
                </c:pt>
                <c:pt idx="8">
                  <c:v>120</c:v>
                </c:pt>
                <c:pt idx="9">
                  <c:v>132</c:v>
                </c:pt>
                <c:pt idx="10">
                  <c:v>144</c:v>
                </c:pt>
              </c:numCache>
            </c:numRef>
          </c:cat>
          <c:val>
            <c:numRef>
              <c:f>'dinamica de germ'!$Y$14:$Y$24</c:f>
              <c:numCache>
                <c:formatCode>General</c:formatCode>
                <c:ptCount val="11"/>
                <c:pt idx="0">
                  <c:v>43.333333333333336</c:v>
                </c:pt>
                <c:pt idx="1">
                  <c:v>43.333333333333336</c:v>
                </c:pt>
                <c:pt idx="2">
                  <c:v>61.1</c:v>
                </c:pt>
                <c:pt idx="3">
                  <c:v>62.2</c:v>
                </c:pt>
                <c:pt idx="4">
                  <c:v>63.3</c:v>
                </c:pt>
                <c:pt idx="5">
                  <c:v>63.3</c:v>
                </c:pt>
                <c:pt idx="6">
                  <c:v>65.599999999999994</c:v>
                </c:pt>
                <c:pt idx="7">
                  <c:v>68.900000000000006</c:v>
                </c:pt>
                <c:pt idx="8">
                  <c:v>68.900000000000006</c:v>
                </c:pt>
                <c:pt idx="9">
                  <c:v>68.900000000000006</c:v>
                </c:pt>
                <c:pt idx="10">
                  <c:v>68.900000000000006</c:v>
                </c:pt>
              </c:numCache>
            </c:numRef>
          </c:val>
        </c:ser>
        <c:marker val="1"/>
        <c:axId val="65825408"/>
        <c:axId val="65831296"/>
      </c:lineChart>
      <c:catAx>
        <c:axId val="65825408"/>
        <c:scaling>
          <c:orientation val="minMax"/>
        </c:scaling>
        <c:axPos val="b"/>
        <c:numFmt formatCode="General" sourceLinked="1"/>
        <c:tickLblPos val="nextTo"/>
        <c:crossAx val="65831296"/>
        <c:crosses val="autoZero"/>
        <c:auto val="1"/>
        <c:lblAlgn val="ctr"/>
        <c:lblOffset val="100"/>
      </c:catAx>
      <c:valAx>
        <c:axId val="65831296"/>
        <c:scaling>
          <c:orientation val="minMax"/>
          <c:max val="8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Porcentaje de germinación (%)</a:t>
                </a:r>
              </a:p>
            </c:rich>
          </c:tx>
          <c:layout/>
        </c:title>
        <c:numFmt formatCode="General" sourceLinked="1"/>
        <c:minorTickMark val="in"/>
        <c:tickLblPos val="nextTo"/>
        <c:crossAx val="65825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9525000000000006"/>
          <c:y val="0.38724069694086644"/>
          <c:w val="0.22419444444444456"/>
          <c:h val="0.23595730733744197"/>
        </c:manualLayout>
      </c:layout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'velocidad de germinacion'!$Y$12</c:f>
              <c:strCache>
                <c:ptCount val="1"/>
                <c:pt idx="0">
                  <c:v>Control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'velocidad de germinacion'!$Y$14</c:f>
                <c:numCache>
                  <c:formatCode>General</c:formatCode>
                  <c:ptCount val="1"/>
                  <c:pt idx="0">
                    <c:v>0.14664940396490675</c:v>
                  </c:pt>
                </c:numCache>
              </c:numRef>
            </c:plus>
            <c:minus>
              <c:numRef>
                <c:f>'velocidad de germinacion'!$Y$14</c:f>
                <c:numCache>
                  <c:formatCode>General</c:formatCode>
                  <c:ptCount val="1"/>
                  <c:pt idx="0">
                    <c:v>0.14664940396490675</c:v>
                  </c:pt>
                </c:numCache>
              </c:numRef>
            </c:minus>
          </c:errBars>
          <c:val>
            <c:numRef>
              <c:f>'velocidad de germinacion'!$Y$13</c:f>
              <c:numCache>
                <c:formatCode>General</c:formatCode>
                <c:ptCount val="1"/>
                <c:pt idx="0">
                  <c:v>7.5003968253968241</c:v>
                </c:pt>
              </c:numCache>
            </c:numRef>
          </c:val>
        </c:ser>
        <c:ser>
          <c:idx val="1"/>
          <c:order val="1"/>
          <c:tx>
            <c:strRef>
              <c:f>'velocidad de germinacion'!$Z$12</c:f>
              <c:strCache>
                <c:ptCount val="1"/>
                <c:pt idx="0">
                  <c:v>PEG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dLblPos val="outEnd"/>
              <c:showVal val="1"/>
            </c:dLbl>
            <c:dLblPos val="outEnd"/>
            <c:showVal val="1"/>
          </c:dLbls>
          <c:errBars>
            <c:errBarType val="both"/>
            <c:errValType val="cust"/>
            <c:plus>
              <c:numRef>
                <c:f>'velocidad de germinacion'!$Z$14</c:f>
                <c:numCache>
                  <c:formatCode>General</c:formatCode>
                  <c:ptCount val="1"/>
                  <c:pt idx="0">
                    <c:v>0.10753083954909529</c:v>
                  </c:pt>
                </c:numCache>
              </c:numRef>
            </c:plus>
            <c:minus>
              <c:numRef>
                <c:f>'velocidad de germinacion'!$Z$14</c:f>
                <c:numCache>
                  <c:formatCode>General</c:formatCode>
                  <c:ptCount val="1"/>
                  <c:pt idx="0">
                    <c:v>0.10753083954909529</c:v>
                  </c:pt>
                </c:numCache>
              </c:numRef>
            </c:minus>
          </c:errBars>
          <c:val>
            <c:numRef>
              <c:f>'velocidad de germinacion'!$Z$13</c:f>
              <c:numCache>
                <c:formatCode>General</c:formatCode>
                <c:ptCount val="1"/>
                <c:pt idx="0">
                  <c:v>6.7238095238095239</c:v>
                </c:pt>
              </c:numCache>
            </c:numRef>
          </c:val>
        </c:ser>
        <c:ser>
          <c:idx val="2"/>
          <c:order val="2"/>
          <c:tx>
            <c:strRef>
              <c:f>'velocidad de germinacion'!$AA$12</c:f>
              <c:strCache>
                <c:ptCount val="1"/>
                <c:pt idx="0">
                  <c:v>PEG + 1,0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dLblPos val="outEnd"/>
              <c:showVal val="1"/>
            </c:dLbl>
            <c:dLblPos val="outEnd"/>
            <c:showVal val="1"/>
          </c:dLbls>
          <c:errBars>
            <c:errBarType val="both"/>
            <c:errValType val="cust"/>
            <c:plus>
              <c:numRef>
                <c:f>'velocidad de germinacion'!$AA$14</c:f>
                <c:numCache>
                  <c:formatCode>General</c:formatCode>
                  <c:ptCount val="1"/>
                  <c:pt idx="0">
                    <c:v>0.22862910264172204</c:v>
                  </c:pt>
                </c:numCache>
              </c:numRef>
            </c:plus>
            <c:minus>
              <c:numRef>
                <c:f>'velocidad de germinacion'!$AA$14</c:f>
                <c:numCache>
                  <c:formatCode>General</c:formatCode>
                  <c:ptCount val="1"/>
                  <c:pt idx="0">
                    <c:v>0.22862910264172204</c:v>
                  </c:pt>
                </c:numCache>
              </c:numRef>
            </c:minus>
          </c:errBars>
          <c:val>
            <c:numRef>
              <c:f>'velocidad de germinacion'!$AA$13</c:f>
              <c:numCache>
                <c:formatCode>General</c:formatCode>
                <c:ptCount val="1"/>
                <c:pt idx="0">
                  <c:v>8.0785714285714274</c:v>
                </c:pt>
              </c:numCache>
            </c:numRef>
          </c:val>
        </c:ser>
        <c:ser>
          <c:idx val="3"/>
          <c:order val="3"/>
          <c:tx>
            <c:strRef>
              <c:f>'velocidad de germinacion'!$AB$12</c:f>
              <c:strCache>
                <c:ptCount val="1"/>
                <c:pt idx="0">
                  <c:v>PEG + 0,5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dLblPos val="outEnd"/>
              <c:showVal val="1"/>
            </c:dLbl>
            <c:dLblPos val="outEnd"/>
            <c:showVal val="1"/>
          </c:dLbls>
          <c:errBars>
            <c:errBarType val="both"/>
            <c:errValType val="cust"/>
            <c:plus>
              <c:numRef>
                <c:f>'velocidad de germinacion'!$AB$14</c:f>
                <c:numCache>
                  <c:formatCode>General</c:formatCode>
                  <c:ptCount val="1"/>
                  <c:pt idx="0">
                    <c:v>0.20348105440036493</c:v>
                  </c:pt>
                </c:numCache>
              </c:numRef>
            </c:plus>
            <c:minus>
              <c:numRef>
                <c:f>'velocidad de germinacion'!$AB$14</c:f>
                <c:numCache>
                  <c:formatCode>General</c:formatCode>
                  <c:ptCount val="1"/>
                  <c:pt idx="0">
                    <c:v>0.20348105440036493</c:v>
                  </c:pt>
                </c:numCache>
              </c:numRef>
            </c:minus>
          </c:errBars>
          <c:val>
            <c:numRef>
              <c:f>'velocidad de germinacion'!$AB$13</c:f>
              <c:numCache>
                <c:formatCode>General</c:formatCode>
                <c:ptCount val="1"/>
                <c:pt idx="0">
                  <c:v>8.0952621452621454</c:v>
                </c:pt>
              </c:numCache>
            </c:numRef>
          </c:val>
        </c:ser>
        <c:ser>
          <c:idx val="4"/>
          <c:order val="4"/>
          <c:tx>
            <c:strRef>
              <c:f>'velocidad de germinacion'!$AC$12</c:f>
              <c:strCache>
                <c:ptCount val="1"/>
                <c:pt idx="0">
                  <c:v>PEG + 0,1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dLblPos val="outEnd"/>
              <c:showVal val="1"/>
            </c:dLbl>
            <c:dLblPos val="outEnd"/>
            <c:showVal val="1"/>
          </c:dLbls>
          <c:errBars>
            <c:errBarType val="both"/>
            <c:errValType val="cust"/>
            <c:plus>
              <c:numRef>
                <c:f>'velocidad de germinacion'!$AC$14</c:f>
                <c:numCache>
                  <c:formatCode>General</c:formatCode>
                  <c:ptCount val="1"/>
                  <c:pt idx="0">
                    <c:v>0.28195464845903118</c:v>
                  </c:pt>
                </c:numCache>
              </c:numRef>
            </c:plus>
            <c:minus>
              <c:numRef>
                <c:f>'velocidad de germinacion'!$AC$14</c:f>
                <c:numCache>
                  <c:formatCode>General</c:formatCode>
                  <c:ptCount val="1"/>
                  <c:pt idx="0">
                    <c:v>0.28195464845903118</c:v>
                  </c:pt>
                </c:numCache>
              </c:numRef>
            </c:minus>
          </c:errBars>
          <c:val>
            <c:numRef>
              <c:f>'velocidad de germinacion'!$AC$13</c:f>
              <c:numCache>
                <c:formatCode>General</c:formatCode>
                <c:ptCount val="1"/>
                <c:pt idx="0">
                  <c:v>8.075925925925926</c:v>
                </c:pt>
              </c:numCache>
            </c:numRef>
          </c:val>
        </c:ser>
        <c:dLbls>
          <c:showVal val="1"/>
        </c:dLbls>
        <c:overlap val="-50"/>
        <c:axId val="82119680"/>
        <c:axId val="82133760"/>
      </c:barChart>
      <c:catAx>
        <c:axId val="82119680"/>
        <c:scaling>
          <c:orientation val="minMax"/>
        </c:scaling>
        <c:delete val="1"/>
        <c:axPos val="b"/>
        <c:tickLblPos val="nextTo"/>
        <c:crossAx val="82133760"/>
        <c:crosses val="autoZero"/>
        <c:auto val="1"/>
        <c:lblAlgn val="ctr"/>
        <c:lblOffset val="100"/>
      </c:catAx>
      <c:valAx>
        <c:axId val="821337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VG </a:t>
                </a:r>
                <a:r>
                  <a:rPr lang="es-ES" baseline="0"/>
                  <a:t>(semillas día </a:t>
                </a:r>
                <a:r>
                  <a:rPr lang="es-ES" baseline="30000"/>
                  <a:t>-1</a:t>
                </a:r>
                <a:r>
                  <a:rPr lang="es-ES" baseline="0"/>
                  <a:t>)</a:t>
                </a:r>
                <a:endParaRPr lang="es-ES"/>
              </a:p>
            </c:rich>
          </c:tx>
          <c:layout/>
        </c:title>
        <c:numFmt formatCode="General" sourceLinked="1"/>
        <c:tickLblPos val="nextTo"/>
        <c:crossAx val="821196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303"/>
          <c:w val="0.90392475940507477"/>
          <c:h val="8.3717191601049942E-2"/>
        </c:manualLayout>
      </c:layout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'tiempo med y tasade germinacion'!$Y$10</c:f>
              <c:strCache>
                <c:ptCount val="1"/>
                <c:pt idx="0">
                  <c:v>Control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'tiempo med y tasade germinacion'!$Y$12</c:f>
                <c:numCache>
                  <c:formatCode>General</c:formatCode>
                  <c:ptCount val="1"/>
                  <c:pt idx="0">
                    <c:v>7.0157854461819991E-2</c:v>
                  </c:pt>
                </c:numCache>
              </c:numRef>
            </c:plus>
            <c:minus>
              <c:numRef>
                <c:f>'tiempo med y tasade germinacion'!$Y$12</c:f>
                <c:numCache>
                  <c:formatCode>General</c:formatCode>
                  <c:ptCount val="1"/>
                  <c:pt idx="0">
                    <c:v>7.0157854461819991E-2</c:v>
                  </c:pt>
                </c:numCache>
              </c:numRef>
            </c:minus>
          </c:errBars>
          <c:val>
            <c:numRef>
              <c:f>'tiempo med y tasade germinacion'!$Y$11</c:f>
              <c:numCache>
                <c:formatCode>General</c:formatCode>
                <c:ptCount val="1"/>
                <c:pt idx="0">
                  <c:v>1.6931818181818181</c:v>
                </c:pt>
              </c:numCache>
            </c:numRef>
          </c:val>
        </c:ser>
        <c:ser>
          <c:idx val="1"/>
          <c:order val="1"/>
          <c:tx>
            <c:strRef>
              <c:f>'tiempo med y tasade germinacion'!$Z$10</c:f>
              <c:strCache>
                <c:ptCount val="1"/>
                <c:pt idx="0">
                  <c:v>PEG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dLblPos val="outEnd"/>
              <c:showVal val="1"/>
            </c:dLbl>
            <c:dLblPos val="outEnd"/>
            <c:showVal val="1"/>
          </c:dLbls>
          <c:errBars>
            <c:errBarType val="both"/>
            <c:errValType val="cust"/>
            <c:plus>
              <c:numRef>
                <c:f>'tiempo med y tasade germinacion'!$Z$12</c:f>
                <c:numCache>
                  <c:formatCode>General</c:formatCode>
                  <c:ptCount val="1"/>
                  <c:pt idx="0">
                    <c:v>2.4336108764904722E-2</c:v>
                  </c:pt>
                </c:numCache>
              </c:numRef>
            </c:plus>
            <c:minus>
              <c:numRef>
                <c:f>'tiempo med y tasade germinacion'!$Z$12</c:f>
                <c:numCache>
                  <c:formatCode>General</c:formatCode>
                  <c:ptCount val="1"/>
                  <c:pt idx="0">
                    <c:v>2.4336108764904722E-2</c:v>
                  </c:pt>
                </c:numCache>
              </c:numRef>
            </c:minus>
          </c:errBars>
          <c:val>
            <c:numRef>
              <c:f>'tiempo med y tasade germinacion'!$Z$11</c:f>
              <c:numCache>
                <c:formatCode>General</c:formatCode>
                <c:ptCount val="1"/>
                <c:pt idx="0">
                  <c:v>1.841540404040404</c:v>
                </c:pt>
              </c:numCache>
            </c:numRef>
          </c:val>
        </c:ser>
        <c:ser>
          <c:idx val="2"/>
          <c:order val="2"/>
          <c:tx>
            <c:strRef>
              <c:f>'tiempo med y tasade germinacion'!$AA$10</c:f>
              <c:strCache>
                <c:ptCount val="1"/>
                <c:pt idx="0">
                  <c:v>PEG + 1,0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dLblPos val="outEnd"/>
              <c:showVal val="1"/>
            </c:dLbl>
            <c:dLblPos val="outEnd"/>
            <c:showVal val="1"/>
          </c:dLbls>
          <c:errBars>
            <c:errBarType val="both"/>
            <c:errValType val="cust"/>
            <c:plus>
              <c:numRef>
                <c:f>'tiempo med y tasade germinacion'!$AA$12</c:f>
                <c:numCache>
                  <c:formatCode>General</c:formatCode>
                  <c:ptCount val="1"/>
                  <c:pt idx="0">
                    <c:v>5.7089921789097033E-2</c:v>
                  </c:pt>
                </c:numCache>
              </c:numRef>
            </c:plus>
            <c:minus>
              <c:numRef>
                <c:f>'tiempo med y tasade germinacion'!$AA$12</c:f>
                <c:numCache>
                  <c:formatCode>General</c:formatCode>
                  <c:ptCount val="1"/>
                  <c:pt idx="0">
                    <c:v>5.7089921789097033E-2</c:v>
                  </c:pt>
                </c:numCache>
              </c:numRef>
            </c:minus>
          </c:errBars>
          <c:val>
            <c:numRef>
              <c:f>'tiempo med y tasade germinacion'!$AA$11</c:f>
              <c:numCache>
                <c:formatCode>General</c:formatCode>
                <c:ptCount val="1"/>
                <c:pt idx="0">
                  <c:v>1.5157407407407408</c:v>
                </c:pt>
              </c:numCache>
            </c:numRef>
          </c:val>
        </c:ser>
        <c:ser>
          <c:idx val="3"/>
          <c:order val="3"/>
          <c:tx>
            <c:strRef>
              <c:f>'tiempo med y tasade germinacion'!$AB$10</c:f>
              <c:strCache>
                <c:ptCount val="1"/>
                <c:pt idx="0">
                  <c:v>PEG + 0,5 E2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'tiempo med y tasade germinacion'!$AB$12</c:f>
                <c:numCache>
                  <c:formatCode>General</c:formatCode>
                  <c:ptCount val="1"/>
                  <c:pt idx="0">
                    <c:v>0.27387799679383273</c:v>
                  </c:pt>
                </c:numCache>
              </c:numRef>
            </c:plus>
            <c:minus>
              <c:numRef>
                <c:f>'tiempo med y tasade germinacion'!$AB$12</c:f>
                <c:numCache>
                  <c:formatCode>General</c:formatCode>
                  <c:ptCount val="1"/>
                  <c:pt idx="0">
                    <c:v>0.27387799679383273</c:v>
                  </c:pt>
                </c:numCache>
              </c:numRef>
            </c:minus>
          </c:errBars>
          <c:val>
            <c:numRef>
              <c:f>'tiempo med y tasade germinacion'!$AB$11</c:f>
              <c:numCache>
                <c:formatCode>General</c:formatCode>
                <c:ptCount val="1"/>
                <c:pt idx="0">
                  <c:v>1.9378787878787878</c:v>
                </c:pt>
              </c:numCache>
            </c:numRef>
          </c:val>
        </c:ser>
        <c:ser>
          <c:idx val="4"/>
          <c:order val="4"/>
          <c:tx>
            <c:strRef>
              <c:f>'tiempo med y tasade germinacion'!$AC$10</c:f>
              <c:strCache>
                <c:ptCount val="1"/>
                <c:pt idx="0">
                  <c:v>PEG + 0,1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dLblPos val="outEnd"/>
              <c:showVal val="1"/>
            </c:dLbl>
            <c:dLblPos val="outEnd"/>
            <c:showVal val="1"/>
          </c:dLbls>
          <c:errBars>
            <c:errBarType val="both"/>
            <c:errValType val="cust"/>
            <c:plus>
              <c:numRef>
                <c:f>'tiempo med y tasade germinacion'!$AC$12</c:f>
                <c:numCache>
                  <c:formatCode>General</c:formatCode>
                  <c:ptCount val="1"/>
                  <c:pt idx="0">
                    <c:v>8.1553235806111832E-2</c:v>
                  </c:pt>
                </c:numCache>
              </c:numRef>
            </c:plus>
            <c:minus>
              <c:numRef>
                <c:f>'tiempo med y tasade germinacion'!$AC$12</c:f>
                <c:numCache>
                  <c:formatCode>General</c:formatCode>
                  <c:ptCount val="1"/>
                  <c:pt idx="0">
                    <c:v>8.1553235806111832E-2</c:v>
                  </c:pt>
                </c:numCache>
              </c:numRef>
            </c:minus>
          </c:errBars>
          <c:val>
            <c:numRef>
              <c:f>'tiempo med y tasade germinacion'!$AC$11</c:f>
              <c:numCache>
                <c:formatCode>General</c:formatCode>
                <c:ptCount val="1"/>
                <c:pt idx="0">
                  <c:v>1.4809764309764308</c:v>
                </c:pt>
              </c:numCache>
            </c:numRef>
          </c:val>
        </c:ser>
        <c:dLbls>
          <c:showVal val="1"/>
        </c:dLbls>
        <c:overlap val="-50"/>
        <c:axId val="82861056"/>
        <c:axId val="82871040"/>
      </c:barChart>
      <c:catAx>
        <c:axId val="82861056"/>
        <c:scaling>
          <c:orientation val="minMax"/>
        </c:scaling>
        <c:delete val="1"/>
        <c:axPos val="b"/>
        <c:tickLblPos val="nextTo"/>
        <c:crossAx val="82871040"/>
        <c:crosses val="autoZero"/>
        <c:auto val="1"/>
        <c:lblAlgn val="ctr"/>
        <c:lblOffset val="100"/>
      </c:catAx>
      <c:valAx>
        <c:axId val="828710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Tiempo</a:t>
                </a:r>
                <a:r>
                  <a:rPr lang="es-ES" baseline="0"/>
                  <a:t> medio</a:t>
                </a:r>
                <a:r>
                  <a:rPr lang="es-ES"/>
                  <a:t> de germinación</a:t>
                </a:r>
                <a:r>
                  <a:rPr lang="es-ES" baseline="0"/>
                  <a:t> ( días)</a:t>
                </a:r>
                <a:endParaRPr lang="es-ES"/>
              </a:p>
            </c:rich>
          </c:tx>
          <c:layout/>
        </c:title>
        <c:numFmt formatCode="General" sourceLinked="1"/>
        <c:tickLblPos val="nextTo"/>
        <c:crossAx val="82861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325"/>
          <c:w val="0.903924759405075"/>
          <c:h val="8.371719160104997E-2"/>
        </c:manualLayout>
      </c:layout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'tiempo med y tasade germinacion'!$AD$30</c:f>
              <c:strCache>
                <c:ptCount val="1"/>
                <c:pt idx="0">
                  <c:v>Control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'tiempo med y tasade germinacion'!$AD$32</c:f>
                <c:numCache>
                  <c:formatCode>General</c:formatCode>
                  <c:ptCount val="1"/>
                  <c:pt idx="0">
                    <c:v>2.6318966530186273E-2</c:v>
                  </c:pt>
                </c:numCache>
              </c:numRef>
            </c:plus>
            <c:minus>
              <c:numRef>
                <c:f>'tiempo med y tasade germinacion'!$AD$32</c:f>
                <c:numCache>
                  <c:formatCode>General</c:formatCode>
                  <c:ptCount val="1"/>
                  <c:pt idx="0">
                    <c:v>2.6318966530186273E-2</c:v>
                  </c:pt>
                </c:numCache>
              </c:numRef>
            </c:minus>
          </c:errBars>
          <c:val>
            <c:numRef>
              <c:f>'tiempo med y tasade germinacion'!$AD$31</c:f>
              <c:numCache>
                <c:formatCode>General</c:formatCode>
                <c:ptCount val="1"/>
                <c:pt idx="0">
                  <c:v>0.6025317497505468</c:v>
                </c:pt>
              </c:numCache>
            </c:numRef>
          </c:val>
        </c:ser>
        <c:ser>
          <c:idx val="1"/>
          <c:order val="1"/>
          <c:tx>
            <c:strRef>
              <c:f>'tiempo med y tasade germinacion'!$AE$30</c:f>
              <c:strCache>
                <c:ptCount val="1"/>
                <c:pt idx="0">
                  <c:v>PEG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'tiempo med y tasade germinacion'!$AE$32</c:f>
                <c:numCache>
                  <c:formatCode>General</c:formatCode>
                  <c:ptCount val="1"/>
                  <c:pt idx="0">
                    <c:v>7.2501525971149653E-3</c:v>
                  </c:pt>
                </c:numCache>
              </c:numRef>
            </c:plus>
            <c:minus>
              <c:numRef>
                <c:f>'tiempo med y tasade germinacion'!$AE$32</c:f>
                <c:numCache>
                  <c:formatCode>General</c:formatCode>
                  <c:ptCount val="1"/>
                  <c:pt idx="0">
                    <c:v>7.2501525971149653E-3</c:v>
                  </c:pt>
                </c:numCache>
              </c:numRef>
            </c:minus>
          </c:errBars>
          <c:val>
            <c:numRef>
              <c:f>'tiempo med y tasade germinacion'!$AE$31</c:f>
              <c:numCache>
                <c:formatCode>General</c:formatCode>
                <c:ptCount val="1"/>
                <c:pt idx="0">
                  <c:v>0.54407598893164122</c:v>
                </c:pt>
              </c:numCache>
            </c:numRef>
          </c:val>
        </c:ser>
        <c:ser>
          <c:idx val="2"/>
          <c:order val="2"/>
          <c:tx>
            <c:strRef>
              <c:f>'tiempo med y tasade germinacion'!$AF$30</c:f>
              <c:strCache>
                <c:ptCount val="1"/>
                <c:pt idx="0">
                  <c:v>PEG + 1,0 ESp2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'tiempo med y tasade germinacion'!$AF$32</c:f>
                <c:numCache>
                  <c:formatCode>General</c:formatCode>
                  <c:ptCount val="1"/>
                  <c:pt idx="0">
                    <c:v>2.4031385394394887E-2</c:v>
                  </c:pt>
                </c:numCache>
              </c:numRef>
            </c:plus>
            <c:minus>
              <c:numRef>
                <c:f>'tiempo med y tasade germinacion'!$AF$32</c:f>
                <c:numCache>
                  <c:formatCode>General</c:formatCode>
                  <c:ptCount val="1"/>
                  <c:pt idx="0">
                    <c:v>2.4031385394394887E-2</c:v>
                  </c:pt>
                </c:numCache>
              </c:numRef>
            </c:minus>
          </c:errBars>
          <c:val>
            <c:numRef>
              <c:f>'tiempo med y tasade germinacion'!$AF$31</c:f>
              <c:numCache>
                <c:formatCode>General</c:formatCode>
                <c:ptCount val="1"/>
                <c:pt idx="0">
                  <c:v>0.66966405508072169</c:v>
                </c:pt>
              </c:numCache>
            </c:numRef>
          </c:val>
        </c:ser>
        <c:ser>
          <c:idx val="3"/>
          <c:order val="3"/>
          <c:tx>
            <c:strRef>
              <c:f>'tiempo med y tasade germinacion'!$AG$30</c:f>
              <c:strCache>
                <c:ptCount val="1"/>
                <c:pt idx="0">
                  <c:v>PEG + 0,5 ESp2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'tiempo med y tasade germinacion'!$AG$32</c:f>
                <c:numCache>
                  <c:formatCode>General</c:formatCode>
                  <c:ptCount val="1"/>
                  <c:pt idx="0">
                    <c:v>4.723488754873216E-2</c:v>
                  </c:pt>
                </c:numCache>
              </c:numRef>
            </c:plus>
            <c:minus>
              <c:numRef>
                <c:f>'tiempo med y tasade germinacion'!$AG$32</c:f>
                <c:numCache>
                  <c:formatCode>General</c:formatCode>
                  <c:ptCount val="1"/>
                  <c:pt idx="0">
                    <c:v>4.723488754873216E-2</c:v>
                  </c:pt>
                </c:numCache>
              </c:numRef>
            </c:minus>
          </c:errBars>
          <c:val>
            <c:numRef>
              <c:f>'tiempo med y tasade germinacion'!$AG$31</c:f>
              <c:numCache>
                <c:formatCode>General</c:formatCode>
                <c:ptCount val="1"/>
                <c:pt idx="0">
                  <c:v>0.58826687101567687</c:v>
                </c:pt>
              </c:numCache>
            </c:numRef>
          </c:val>
        </c:ser>
        <c:ser>
          <c:idx val="4"/>
          <c:order val="4"/>
          <c:tx>
            <c:strRef>
              <c:f>'tiempo med y tasade germinacion'!$AH$30</c:f>
              <c:strCache>
                <c:ptCount val="1"/>
                <c:pt idx="0">
                  <c:v>PEG + 0,1 ESp2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'tiempo med y tasade germinacion'!$AH$32</c:f>
                <c:numCache>
                  <c:formatCode>General</c:formatCode>
                  <c:ptCount val="1"/>
                  <c:pt idx="0">
                    <c:v>3.5658615620068952E-2</c:v>
                  </c:pt>
                </c:numCache>
              </c:numRef>
            </c:plus>
            <c:minus>
              <c:numRef>
                <c:f>'tiempo med y tasade germinacion'!$AH$32</c:f>
                <c:numCache>
                  <c:formatCode>General</c:formatCode>
                  <c:ptCount val="1"/>
                  <c:pt idx="0">
                    <c:v>3.5658615620068952E-2</c:v>
                  </c:pt>
                </c:numCache>
              </c:numRef>
            </c:minus>
          </c:errBars>
          <c:val>
            <c:numRef>
              <c:f>'tiempo med y tasade germinacion'!$AH$31</c:f>
              <c:numCache>
                <c:formatCode>General</c:formatCode>
                <c:ptCount val="1"/>
                <c:pt idx="0">
                  <c:v>0.69670254670254683</c:v>
                </c:pt>
              </c:numCache>
            </c:numRef>
          </c:val>
        </c:ser>
        <c:dLbls>
          <c:showVal val="1"/>
        </c:dLbls>
        <c:overlap val="-50"/>
        <c:axId val="83192448"/>
        <c:axId val="83202432"/>
      </c:barChart>
      <c:catAx>
        <c:axId val="83192448"/>
        <c:scaling>
          <c:orientation val="minMax"/>
        </c:scaling>
        <c:delete val="1"/>
        <c:axPos val="b"/>
        <c:tickLblPos val="nextTo"/>
        <c:crossAx val="83202432"/>
        <c:crosses val="autoZero"/>
        <c:auto val="1"/>
        <c:lblAlgn val="ctr"/>
        <c:lblOffset val="100"/>
      </c:catAx>
      <c:valAx>
        <c:axId val="832024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Tasa de germinación</a:t>
                </a:r>
                <a:r>
                  <a:rPr lang="es-ES" baseline="0"/>
                  <a:t> ( días</a:t>
                </a:r>
                <a:r>
                  <a:rPr lang="es-ES" baseline="30000"/>
                  <a:t>-1</a:t>
                </a:r>
                <a:r>
                  <a:rPr lang="es-ES" baseline="0"/>
                  <a:t>)</a:t>
                </a:r>
                <a:endParaRPr lang="es-ES"/>
              </a:p>
            </c:rich>
          </c:tx>
          <c:layout/>
        </c:title>
        <c:numFmt formatCode="General" sourceLinked="1"/>
        <c:tickLblPos val="nextTo"/>
        <c:crossAx val="831924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359"/>
          <c:w val="0.8455914260717412"/>
          <c:h val="8.3717191601049901E-2"/>
        </c:manualLayout>
      </c:layout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'indice de vigor'!$F$10</c:f>
              <c:strCache>
                <c:ptCount val="1"/>
                <c:pt idx="0">
                  <c:v>Control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vigor'!$F$19</c:f>
                <c:numCache>
                  <c:formatCode>General</c:formatCode>
                  <c:ptCount val="1"/>
                  <c:pt idx="0">
                    <c:v>5.5092891760405474</c:v>
                  </c:pt>
                </c:numCache>
              </c:numRef>
            </c:plus>
            <c:minus>
              <c:numRef>
                <c:f>'indice de vigor'!$F$19</c:f>
                <c:numCache>
                  <c:formatCode>General</c:formatCode>
                  <c:ptCount val="1"/>
                  <c:pt idx="0">
                    <c:v>5.5092891760405474</c:v>
                  </c:pt>
                </c:numCache>
              </c:numRef>
            </c:minus>
          </c:errBars>
          <c:val>
            <c:numRef>
              <c:f>'indice de vigor'!$F$17</c:f>
              <c:numCache>
                <c:formatCode>General</c:formatCode>
                <c:ptCount val="1"/>
                <c:pt idx="0">
                  <c:v>71.1111111111111</c:v>
                </c:pt>
              </c:numCache>
            </c:numRef>
          </c:val>
        </c:ser>
        <c:ser>
          <c:idx val="1"/>
          <c:order val="1"/>
          <c:tx>
            <c:strRef>
              <c:f>'indice de vigor'!$G$10</c:f>
              <c:strCache>
                <c:ptCount val="1"/>
                <c:pt idx="0">
                  <c:v>PEG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vigor'!$G$19</c:f>
                <c:numCache>
                  <c:formatCode>General</c:formatCode>
                  <c:ptCount val="1"/>
                  <c:pt idx="0">
                    <c:v>4.3554755212001215</c:v>
                  </c:pt>
                </c:numCache>
              </c:numRef>
            </c:plus>
            <c:minus>
              <c:numRef>
                <c:f>'indice de vigor'!$G$19</c:f>
                <c:numCache>
                  <c:formatCode>General</c:formatCode>
                  <c:ptCount val="1"/>
                  <c:pt idx="0">
                    <c:v>4.3554755212001215</c:v>
                  </c:pt>
                </c:numCache>
              </c:numRef>
            </c:minus>
          </c:errBars>
          <c:val>
            <c:numRef>
              <c:f>'indice de vigor'!$G$17</c:f>
              <c:numCache>
                <c:formatCode>General</c:formatCode>
                <c:ptCount val="1"/>
                <c:pt idx="0">
                  <c:v>71.1111111111111</c:v>
                </c:pt>
              </c:numCache>
            </c:numRef>
          </c:val>
        </c:ser>
        <c:ser>
          <c:idx val="2"/>
          <c:order val="2"/>
          <c:tx>
            <c:strRef>
              <c:f>'indice de vigor'!$H$10</c:f>
              <c:strCache>
                <c:ptCount val="1"/>
                <c:pt idx="0">
                  <c:v>PEG + 1,0 E2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vigor'!$H$19</c:f>
                <c:numCache>
                  <c:formatCode>General</c:formatCode>
                  <c:ptCount val="1"/>
                  <c:pt idx="0">
                    <c:v>4.3554755212001197</c:v>
                  </c:pt>
                </c:numCache>
              </c:numRef>
            </c:plus>
            <c:minus>
              <c:numRef>
                <c:f>'indice de vigor'!$H$19</c:f>
                <c:numCache>
                  <c:formatCode>General</c:formatCode>
                  <c:ptCount val="1"/>
                  <c:pt idx="0">
                    <c:v>4.3554755212001197</c:v>
                  </c:pt>
                </c:numCache>
              </c:numRef>
            </c:minus>
          </c:errBars>
          <c:val>
            <c:numRef>
              <c:f>'indice de vigor'!$H$17</c:f>
              <c:numCache>
                <c:formatCode>General</c:formatCode>
                <c:ptCount val="1"/>
                <c:pt idx="0">
                  <c:v>68.888888888888872</c:v>
                </c:pt>
              </c:numCache>
            </c:numRef>
          </c:val>
        </c:ser>
        <c:ser>
          <c:idx val="3"/>
          <c:order val="3"/>
          <c:tx>
            <c:strRef>
              <c:f>'indice de vigor'!$I$10</c:f>
              <c:strCache>
                <c:ptCount val="1"/>
                <c:pt idx="0">
                  <c:v>PEG + 0,5 E2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vigor'!$I$19</c:f>
                <c:numCache>
                  <c:formatCode>General</c:formatCode>
                  <c:ptCount val="1"/>
                  <c:pt idx="0">
                    <c:v>4.4630343228079834</c:v>
                  </c:pt>
                </c:numCache>
              </c:numRef>
            </c:plus>
            <c:minus>
              <c:numRef>
                <c:f>'indice de vigor'!$I$19</c:f>
                <c:numCache>
                  <c:formatCode>General</c:formatCode>
                  <c:ptCount val="1"/>
                  <c:pt idx="0">
                    <c:v>4.4630343228079834</c:v>
                  </c:pt>
                </c:numCache>
              </c:numRef>
            </c:minus>
          </c:errBars>
          <c:val>
            <c:numRef>
              <c:f>'indice de vigor'!$I$17</c:f>
              <c:numCache>
                <c:formatCode>General</c:formatCode>
                <c:ptCount val="1"/>
                <c:pt idx="0">
                  <c:v>69.999999999999986</c:v>
                </c:pt>
              </c:numCache>
            </c:numRef>
          </c:val>
        </c:ser>
        <c:ser>
          <c:idx val="4"/>
          <c:order val="4"/>
          <c:tx>
            <c:strRef>
              <c:f>'indice de vigor'!$J$10</c:f>
              <c:strCache>
                <c:ptCount val="1"/>
                <c:pt idx="0">
                  <c:v>PEG + 0,1 E2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vigor'!$J$19</c:f>
                <c:numCache>
                  <c:formatCode>General</c:formatCode>
                  <c:ptCount val="1"/>
                  <c:pt idx="0">
                    <c:v>3.373736831684425</c:v>
                  </c:pt>
                </c:numCache>
              </c:numRef>
            </c:plus>
            <c:minus>
              <c:numRef>
                <c:f>'indice de vigor'!$J$19</c:f>
                <c:numCache>
                  <c:formatCode>General</c:formatCode>
                  <c:ptCount val="1"/>
                  <c:pt idx="0">
                    <c:v>3.373736831684425</c:v>
                  </c:pt>
                </c:numCache>
              </c:numRef>
            </c:minus>
          </c:errBars>
          <c:val>
            <c:numRef>
              <c:f>'indice de vigor'!$J$17</c:f>
              <c:numCache>
                <c:formatCode>General</c:formatCode>
                <c:ptCount val="1"/>
                <c:pt idx="0">
                  <c:v>66.666666666666643</c:v>
                </c:pt>
              </c:numCache>
            </c:numRef>
          </c:val>
        </c:ser>
        <c:dLbls>
          <c:showVal val="1"/>
        </c:dLbls>
        <c:overlap val="-50"/>
        <c:axId val="83609088"/>
        <c:axId val="83610624"/>
      </c:barChart>
      <c:catAx>
        <c:axId val="83609088"/>
        <c:scaling>
          <c:orientation val="minMax"/>
        </c:scaling>
        <c:delete val="1"/>
        <c:axPos val="b"/>
        <c:tickLblPos val="nextTo"/>
        <c:crossAx val="83610624"/>
        <c:crosses val="autoZero"/>
        <c:auto val="1"/>
        <c:lblAlgn val="ctr"/>
        <c:lblOffset val="100"/>
      </c:catAx>
      <c:valAx>
        <c:axId val="83610624"/>
        <c:scaling>
          <c:orientation val="minMax"/>
          <c:max val="1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Porcentaje</a:t>
                </a:r>
                <a:r>
                  <a:rPr lang="es-ES" baseline="0"/>
                  <a:t> final de</a:t>
                </a:r>
                <a:r>
                  <a:rPr lang="es-ES"/>
                  <a:t> germinación</a:t>
                </a:r>
                <a:r>
                  <a:rPr lang="es-ES" baseline="0"/>
                  <a:t> ( %)</a:t>
                </a:r>
                <a:endParaRPr lang="es-ES"/>
              </a:p>
            </c:rich>
          </c:tx>
          <c:layout/>
        </c:title>
        <c:numFmt formatCode="General" sourceLinked="1"/>
        <c:tickLblPos val="nextTo"/>
        <c:crossAx val="83609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392"/>
          <c:w val="0.8455914260717412"/>
          <c:h val="8.3717191601049901E-2"/>
        </c:manualLayout>
      </c:layout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'indice de vigor'!$M$10</c:f>
              <c:strCache>
                <c:ptCount val="1"/>
                <c:pt idx="0">
                  <c:v>Control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vigor'!$M$19</c:f>
                <c:numCache>
                  <c:formatCode>General</c:formatCode>
                  <c:ptCount val="1"/>
                  <c:pt idx="0">
                    <c:v>4.5734591969584288</c:v>
                  </c:pt>
                </c:numCache>
              </c:numRef>
            </c:plus>
            <c:minus>
              <c:numRef>
                <c:f>'indice de vigor'!$M$19</c:f>
                <c:numCache>
                  <c:formatCode>General</c:formatCode>
                  <c:ptCount val="1"/>
                  <c:pt idx="0">
                    <c:v>4.5734591969584288</c:v>
                  </c:pt>
                </c:numCache>
              </c:numRef>
            </c:minus>
          </c:errBars>
          <c:val>
            <c:numRef>
              <c:f>'indice de vigor'!$M$17</c:f>
              <c:numCache>
                <c:formatCode>0.0</c:formatCode>
                <c:ptCount val="1"/>
                <c:pt idx="0">
                  <c:v>280.46666666666664</c:v>
                </c:pt>
              </c:numCache>
            </c:numRef>
          </c:val>
        </c:ser>
        <c:ser>
          <c:idx val="1"/>
          <c:order val="1"/>
          <c:tx>
            <c:strRef>
              <c:f>'indice de vigor'!$N$10</c:f>
              <c:strCache>
                <c:ptCount val="1"/>
                <c:pt idx="0">
                  <c:v>PEG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vigor'!$N$19</c:f>
                <c:numCache>
                  <c:formatCode>General</c:formatCode>
                  <c:ptCount val="1"/>
                  <c:pt idx="0">
                    <c:v>2.9726788834073492</c:v>
                  </c:pt>
                </c:numCache>
              </c:numRef>
            </c:plus>
            <c:minus>
              <c:numRef>
                <c:f>'indice de vigor'!$N$19</c:f>
                <c:numCache>
                  <c:formatCode>General</c:formatCode>
                  <c:ptCount val="1"/>
                  <c:pt idx="0">
                    <c:v>2.9726788834073492</c:v>
                  </c:pt>
                </c:numCache>
              </c:numRef>
            </c:minus>
          </c:errBars>
          <c:val>
            <c:numRef>
              <c:f>'indice de vigor'!$N$17</c:f>
              <c:numCache>
                <c:formatCode>0.0</c:formatCode>
                <c:ptCount val="1"/>
                <c:pt idx="0">
                  <c:v>315.18400000000003</c:v>
                </c:pt>
              </c:numCache>
            </c:numRef>
          </c:val>
        </c:ser>
        <c:ser>
          <c:idx val="2"/>
          <c:order val="2"/>
          <c:tx>
            <c:strRef>
              <c:f>'indice de vigor'!$O$10</c:f>
              <c:strCache>
                <c:ptCount val="1"/>
                <c:pt idx="0">
                  <c:v>PEG + 1,0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vigor'!$O$19</c:f>
                <c:numCache>
                  <c:formatCode>General</c:formatCode>
                  <c:ptCount val="1"/>
                  <c:pt idx="0">
                    <c:v>4.4722657063291917</c:v>
                  </c:pt>
                </c:numCache>
              </c:numRef>
            </c:plus>
            <c:minus>
              <c:numRef>
                <c:f>'indice de vigor'!$O$19</c:f>
                <c:numCache>
                  <c:formatCode>General</c:formatCode>
                  <c:ptCount val="1"/>
                  <c:pt idx="0">
                    <c:v>4.4722657063291917</c:v>
                  </c:pt>
                </c:numCache>
              </c:numRef>
            </c:minus>
          </c:errBars>
          <c:val>
            <c:numRef>
              <c:f>'indice de vigor'!$O$17</c:f>
              <c:numCache>
                <c:formatCode>0.0</c:formatCode>
                <c:ptCount val="1"/>
                <c:pt idx="0">
                  <c:v>297.95333333333338</c:v>
                </c:pt>
              </c:numCache>
            </c:numRef>
          </c:val>
        </c:ser>
        <c:ser>
          <c:idx val="3"/>
          <c:order val="3"/>
          <c:tx>
            <c:strRef>
              <c:f>'indice de vigor'!$I$10</c:f>
              <c:strCache>
                <c:ptCount val="1"/>
                <c:pt idx="0">
                  <c:v>PEG + 0,5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vigor'!$P$19</c:f>
                <c:numCache>
                  <c:formatCode>General</c:formatCode>
                  <c:ptCount val="1"/>
                  <c:pt idx="0">
                    <c:v>10.317433708371057</c:v>
                  </c:pt>
                </c:numCache>
              </c:numRef>
            </c:plus>
            <c:minus>
              <c:numRef>
                <c:f>'indice de vigor'!$P$19</c:f>
                <c:numCache>
                  <c:formatCode>General</c:formatCode>
                  <c:ptCount val="1"/>
                  <c:pt idx="0">
                    <c:v>10.317433708371057</c:v>
                  </c:pt>
                </c:numCache>
              </c:numRef>
            </c:minus>
          </c:errBars>
          <c:val>
            <c:numRef>
              <c:f>'indice de vigor'!$P$17</c:f>
              <c:numCache>
                <c:formatCode>0.0</c:formatCode>
                <c:ptCount val="1"/>
                <c:pt idx="0">
                  <c:v>280.73666666666668</c:v>
                </c:pt>
              </c:numCache>
            </c:numRef>
          </c:val>
        </c:ser>
        <c:ser>
          <c:idx val="4"/>
          <c:order val="4"/>
          <c:tx>
            <c:strRef>
              <c:f>'indice de vigor'!$J$10</c:f>
              <c:strCache>
                <c:ptCount val="1"/>
                <c:pt idx="0">
                  <c:v>PEG + 0,1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vigor'!$Q$19</c:f>
                <c:numCache>
                  <c:formatCode>General</c:formatCode>
                  <c:ptCount val="1"/>
                  <c:pt idx="0">
                    <c:v>6.4153383051376611</c:v>
                  </c:pt>
                </c:numCache>
              </c:numRef>
            </c:plus>
            <c:minus>
              <c:numRef>
                <c:f>'indice de vigor'!$Q$19</c:f>
                <c:numCache>
                  <c:formatCode>General</c:formatCode>
                  <c:ptCount val="1"/>
                  <c:pt idx="0">
                    <c:v>6.4153383051376611</c:v>
                  </c:pt>
                </c:numCache>
              </c:numRef>
            </c:minus>
          </c:errBars>
          <c:val>
            <c:numRef>
              <c:f>'indice de vigor'!$Q$17</c:f>
              <c:numCache>
                <c:formatCode>0.0</c:formatCode>
                <c:ptCount val="1"/>
                <c:pt idx="0">
                  <c:v>283.73333333333335</c:v>
                </c:pt>
              </c:numCache>
            </c:numRef>
          </c:val>
        </c:ser>
        <c:dLbls>
          <c:showVal val="1"/>
        </c:dLbls>
        <c:overlap val="-50"/>
        <c:axId val="83543552"/>
        <c:axId val="83545088"/>
      </c:barChart>
      <c:catAx>
        <c:axId val="83543552"/>
        <c:scaling>
          <c:orientation val="minMax"/>
        </c:scaling>
        <c:delete val="1"/>
        <c:axPos val="b"/>
        <c:tickLblPos val="nextTo"/>
        <c:crossAx val="83545088"/>
        <c:crosses val="autoZero"/>
        <c:auto val="1"/>
        <c:lblAlgn val="ctr"/>
        <c:lblOffset val="100"/>
      </c:catAx>
      <c:valAx>
        <c:axId val="83545088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Masa seca de la plántula </a:t>
                </a:r>
                <a:r>
                  <a:rPr lang="es-ES" baseline="0"/>
                  <a:t>( mg)</a:t>
                </a:r>
                <a:endParaRPr lang="es-ES"/>
              </a:p>
            </c:rich>
          </c:tx>
          <c:layout/>
        </c:title>
        <c:numFmt formatCode="0.0" sourceLinked="1"/>
        <c:tickLblPos val="nextTo"/>
        <c:crossAx val="83543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414"/>
          <c:w val="0.8455914260717412"/>
          <c:h val="8.3717191601049901E-2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'indice de vigor'!$T$10</c:f>
              <c:strCache>
                <c:ptCount val="1"/>
                <c:pt idx="0">
                  <c:v>Control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vigor'!$T$19</c:f>
                <c:numCache>
                  <c:formatCode>General</c:formatCode>
                  <c:ptCount val="1"/>
                  <c:pt idx="0">
                    <c:v>582.08325057415857</c:v>
                  </c:pt>
                </c:numCache>
              </c:numRef>
            </c:plus>
            <c:minus>
              <c:numRef>
                <c:f>'indice de vigor'!$T$19</c:f>
                <c:numCache>
                  <c:formatCode>General</c:formatCode>
                  <c:ptCount val="1"/>
                  <c:pt idx="0">
                    <c:v>582.08325057415857</c:v>
                  </c:pt>
                </c:numCache>
              </c:numRef>
            </c:minus>
          </c:errBars>
          <c:val>
            <c:numRef>
              <c:f>'indice de vigor'!$T$17</c:f>
              <c:numCache>
                <c:formatCode>0.0</c:formatCode>
                <c:ptCount val="1"/>
                <c:pt idx="0">
                  <c:v>19927.777777777777</c:v>
                </c:pt>
              </c:numCache>
            </c:numRef>
          </c:val>
        </c:ser>
        <c:ser>
          <c:idx val="1"/>
          <c:order val="1"/>
          <c:tx>
            <c:strRef>
              <c:f>'indice de vigor'!$U$10</c:f>
              <c:strCache>
                <c:ptCount val="1"/>
                <c:pt idx="0">
                  <c:v>PEG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vigor'!$U$19</c:f>
                <c:numCache>
                  <c:formatCode>General</c:formatCode>
                  <c:ptCount val="1"/>
                  <c:pt idx="0">
                    <c:v>399.74679749913332</c:v>
                  </c:pt>
                </c:numCache>
              </c:numRef>
            </c:plus>
            <c:minus>
              <c:numRef>
                <c:f>'indice de vigor'!$U$19</c:f>
                <c:numCache>
                  <c:formatCode>General</c:formatCode>
                  <c:ptCount val="1"/>
                  <c:pt idx="0">
                    <c:v>399.74679749913332</c:v>
                  </c:pt>
                </c:numCache>
              </c:numRef>
            </c:minus>
          </c:errBars>
          <c:val>
            <c:numRef>
              <c:f>'indice de vigor'!$U$17</c:f>
              <c:numCache>
                <c:formatCode>0.0</c:formatCode>
                <c:ptCount val="1"/>
                <c:pt idx="0">
                  <c:v>22240.853333333333</c:v>
                </c:pt>
              </c:numCache>
            </c:numRef>
          </c:val>
        </c:ser>
        <c:ser>
          <c:idx val="2"/>
          <c:order val="2"/>
          <c:tx>
            <c:strRef>
              <c:f>'indice de vigor'!$V$10</c:f>
              <c:strCache>
                <c:ptCount val="1"/>
                <c:pt idx="0">
                  <c:v>PEG + 1,0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vigor'!$V$19</c:f>
                <c:numCache>
                  <c:formatCode>General</c:formatCode>
                  <c:ptCount val="1"/>
                  <c:pt idx="0">
                    <c:v>513.98541589527622</c:v>
                  </c:pt>
                </c:numCache>
              </c:numRef>
            </c:plus>
            <c:minus>
              <c:numRef>
                <c:f>'indice de vigor'!$V$19</c:f>
                <c:numCache>
                  <c:formatCode>General</c:formatCode>
                  <c:ptCount val="1"/>
                  <c:pt idx="0">
                    <c:v>513.98541589527622</c:v>
                  </c:pt>
                </c:numCache>
              </c:numRef>
            </c:minus>
          </c:errBars>
          <c:val>
            <c:numRef>
              <c:f>'indice de vigor'!$V$17</c:f>
              <c:numCache>
                <c:formatCode>0.0</c:formatCode>
                <c:ptCount val="1"/>
                <c:pt idx="0">
                  <c:v>20513.999999999996</c:v>
                </c:pt>
              </c:numCache>
            </c:numRef>
          </c:val>
        </c:ser>
        <c:ser>
          <c:idx val="3"/>
          <c:order val="3"/>
          <c:tx>
            <c:strRef>
              <c:f>'indice de vigor'!$W$10</c:f>
              <c:strCache>
                <c:ptCount val="1"/>
                <c:pt idx="0">
                  <c:v>PEG + 0,5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vigor'!$W$19</c:f>
                <c:numCache>
                  <c:formatCode>General</c:formatCode>
                  <c:ptCount val="1"/>
                  <c:pt idx="0">
                    <c:v>953.89127855686752</c:v>
                  </c:pt>
                </c:numCache>
              </c:numRef>
            </c:plus>
            <c:minus>
              <c:numRef>
                <c:f>'indice de vigor'!$W$19</c:f>
                <c:numCache>
                  <c:formatCode>General</c:formatCode>
                  <c:ptCount val="1"/>
                  <c:pt idx="0">
                    <c:v>953.89127855686752</c:v>
                  </c:pt>
                </c:numCache>
              </c:numRef>
            </c:minus>
          </c:errBars>
          <c:val>
            <c:numRef>
              <c:f>'indice de vigor'!$W$17</c:f>
              <c:numCache>
                <c:formatCode>0.0</c:formatCode>
                <c:ptCount val="1"/>
                <c:pt idx="0">
                  <c:v>19699.022222222218</c:v>
                </c:pt>
              </c:numCache>
            </c:numRef>
          </c:val>
        </c:ser>
        <c:ser>
          <c:idx val="4"/>
          <c:order val="4"/>
          <c:tx>
            <c:strRef>
              <c:f>'indice de vigor'!$X$10</c:f>
              <c:strCache>
                <c:ptCount val="1"/>
                <c:pt idx="0">
                  <c:v>PEG + 0,1 E2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vigor'!$X$19</c:f>
                <c:numCache>
                  <c:formatCode>General</c:formatCode>
                  <c:ptCount val="1"/>
                  <c:pt idx="0">
                    <c:v>710.90231167440697</c:v>
                  </c:pt>
                </c:numCache>
              </c:numRef>
            </c:plus>
            <c:minus>
              <c:numRef>
                <c:f>'indice de vigor'!$X$19</c:f>
                <c:numCache>
                  <c:formatCode>General</c:formatCode>
                  <c:ptCount val="1"/>
                  <c:pt idx="0">
                    <c:v>710.90231167440697</c:v>
                  </c:pt>
                </c:numCache>
              </c:numRef>
            </c:minus>
          </c:errBars>
          <c:val>
            <c:numRef>
              <c:f>'indice de vigor'!$X$17</c:f>
              <c:numCache>
                <c:formatCode>0.0</c:formatCode>
                <c:ptCount val="1"/>
                <c:pt idx="0">
                  <c:v>18983.04444444444</c:v>
                </c:pt>
              </c:numCache>
            </c:numRef>
          </c:val>
        </c:ser>
        <c:dLbls>
          <c:showVal val="1"/>
        </c:dLbls>
        <c:overlap val="-50"/>
        <c:axId val="83756544"/>
        <c:axId val="83758080"/>
      </c:barChart>
      <c:catAx>
        <c:axId val="83756544"/>
        <c:scaling>
          <c:orientation val="minMax"/>
        </c:scaling>
        <c:delete val="1"/>
        <c:axPos val="b"/>
        <c:tickLblPos val="nextTo"/>
        <c:crossAx val="83758080"/>
        <c:crosses val="autoZero"/>
        <c:auto val="1"/>
        <c:lblAlgn val="ctr"/>
        <c:lblOffset val="100"/>
      </c:catAx>
      <c:valAx>
        <c:axId val="83758080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Indice de vigor </a:t>
                </a:r>
              </a:p>
            </c:rich>
          </c:tx>
          <c:layout/>
        </c:title>
        <c:numFmt formatCode="0" sourceLinked="0"/>
        <c:tickLblPos val="nextTo"/>
        <c:crossAx val="837565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436"/>
          <c:w val="0.8455914260717412"/>
          <c:h val="8.3717191601049901E-2"/>
        </c:manualLayout>
      </c:layout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424294</xdr:colOff>
      <xdr:row>26</xdr:row>
      <xdr:rowOff>129888</xdr:rowOff>
    </xdr:from>
    <xdr:to>
      <xdr:col>25</xdr:col>
      <xdr:colOff>147203</xdr:colOff>
      <xdr:row>52</xdr:row>
      <xdr:rowOff>43298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190500</xdr:colOff>
      <xdr:row>8</xdr:row>
      <xdr:rowOff>9525</xdr:rowOff>
    </xdr:from>
    <xdr:to>
      <xdr:col>37</xdr:col>
      <xdr:colOff>495300</xdr:colOff>
      <xdr:row>22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190500</xdr:colOff>
      <xdr:row>8</xdr:row>
      <xdr:rowOff>9525</xdr:rowOff>
    </xdr:from>
    <xdr:to>
      <xdr:col>37</xdr:col>
      <xdr:colOff>495300</xdr:colOff>
      <xdr:row>22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552450</xdr:colOff>
      <xdr:row>26</xdr:row>
      <xdr:rowOff>66675</xdr:rowOff>
    </xdr:from>
    <xdr:to>
      <xdr:col>42</xdr:col>
      <xdr:colOff>247650</xdr:colOff>
      <xdr:row>40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23</xdr:row>
      <xdr:rowOff>123825</xdr:rowOff>
    </xdr:from>
    <xdr:to>
      <xdr:col>9</xdr:col>
      <xdr:colOff>0</xdr:colOff>
      <xdr:row>38</xdr:row>
      <xdr:rowOff>9525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533400</xdr:colOff>
      <xdr:row>22</xdr:row>
      <xdr:rowOff>180975</xdr:rowOff>
    </xdr:from>
    <xdr:to>
      <xdr:col>18</xdr:col>
      <xdr:colOff>228600</xdr:colOff>
      <xdr:row>37</xdr:row>
      <xdr:rowOff>66675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400050</xdr:colOff>
      <xdr:row>21</xdr:row>
      <xdr:rowOff>28575</xdr:rowOff>
    </xdr:from>
    <xdr:to>
      <xdr:col>29</xdr:col>
      <xdr:colOff>95250</xdr:colOff>
      <xdr:row>35</xdr:row>
      <xdr:rowOff>104775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50"/>
  <sheetViews>
    <sheetView topLeftCell="S3" zoomScale="110" workbookViewId="0">
      <selection activeCell="Y13" sqref="Y13"/>
    </sheetView>
  </sheetViews>
  <sheetFormatPr baseColWidth="10" defaultColWidth="9.140625" defaultRowHeight="15"/>
  <cols>
    <col min="2" max="2" width="16" customWidth="1"/>
    <col min="5" max="5" width="12.7109375" customWidth="1"/>
    <col min="12" max="12" width="9.7109375" bestFit="1" customWidth="1"/>
    <col min="23" max="23" width="15.7109375" customWidth="1"/>
    <col min="24" max="24" width="17" customWidth="1"/>
    <col min="25" max="25" width="16" customWidth="1"/>
  </cols>
  <sheetData>
    <row r="1" spans="1:33">
      <c r="A1" t="s">
        <v>0</v>
      </c>
    </row>
    <row r="3" spans="1:33">
      <c r="A3" t="s">
        <v>1</v>
      </c>
    </row>
    <row r="4" spans="1:33">
      <c r="A4" t="s">
        <v>2</v>
      </c>
    </row>
    <row r="5" spans="1:33">
      <c r="A5" t="s">
        <v>3</v>
      </c>
    </row>
    <row r="6" spans="1:33">
      <c r="A6" t="s">
        <v>4</v>
      </c>
    </row>
    <row r="7" spans="1:33">
      <c r="A7" t="s">
        <v>5</v>
      </c>
    </row>
    <row r="8" spans="1:33">
      <c r="A8" t="s">
        <v>6</v>
      </c>
    </row>
    <row r="10" spans="1:33">
      <c r="A10" t="s">
        <v>7</v>
      </c>
    </row>
    <row r="11" spans="1:33">
      <c r="L11" t="s">
        <v>66</v>
      </c>
      <c r="M11" t="s">
        <v>65</v>
      </c>
      <c r="V11" s="8" t="s">
        <v>62</v>
      </c>
    </row>
    <row r="12" spans="1:33">
      <c r="B12" t="s">
        <v>8</v>
      </c>
      <c r="M12" t="s">
        <v>48</v>
      </c>
      <c r="T12" s="8" t="s">
        <v>63</v>
      </c>
      <c r="AC12" s="8" t="s">
        <v>64</v>
      </c>
    </row>
    <row r="13" spans="1:33">
      <c r="B13" t="s">
        <v>9</v>
      </c>
      <c r="C13" t="s">
        <v>10</v>
      </c>
      <c r="D13" t="s">
        <v>11</v>
      </c>
      <c r="E13" t="s">
        <v>12</v>
      </c>
      <c r="F13" t="s">
        <v>13</v>
      </c>
      <c r="L13" t="s">
        <v>9</v>
      </c>
      <c r="M13" t="s">
        <v>10</v>
      </c>
      <c r="N13" t="s">
        <v>11</v>
      </c>
      <c r="O13" t="s">
        <v>12</v>
      </c>
      <c r="P13" t="s">
        <v>13</v>
      </c>
      <c r="U13" s="11" t="s">
        <v>79</v>
      </c>
      <c r="V13" s="8" t="s">
        <v>80</v>
      </c>
      <c r="W13" s="8" t="s">
        <v>97</v>
      </c>
      <c r="X13" s="8" t="s">
        <v>98</v>
      </c>
      <c r="Y13" s="8" t="s">
        <v>99</v>
      </c>
      <c r="AC13" s="11" t="s">
        <v>79</v>
      </c>
      <c r="AD13" s="8" t="s">
        <v>80</v>
      </c>
      <c r="AE13" s="8" t="s">
        <v>81</v>
      </c>
      <c r="AF13" s="8" t="s">
        <v>82</v>
      </c>
      <c r="AG13" s="8" t="s">
        <v>83</v>
      </c>
    </row>
    <row r="14" spans="1:33">
      <c r="A14" t="s">
        <v>14</v>
      </c>
      <c r="B14">
        <v>6</v>
      </c>
      <c r="C14">
        <v>3</v>
      </c>
      <c r="D14">
        <v>6</v>
      </c>
      <c r="E14">
        <v>6</v>
      </c>
      <c r="F14">
        <v>7</v>
      </c>
      <c r="L14" s="5">
        <f>(B14/15)*100</f>
        <v>40</v>
      </c>
      <c r="M14" s="5">
        <f t="shared" ref="M14:P19" si="0">(C14/15)*100</f>
        <v>20</v>
      </c>
      <c r="N14" s="5">
        <f t="shared" si="0"/>
        <v>40</v>
      </c>
      <c r="O14" s="5">
        <f t="shared" si="0"/>
        <v>40</v>
      </c>
      <c r="P14" s="5">
        <f t="shared" si="0"/>
        <v>46.666666666666664</v>
      </c>
      <c r="T14">
        <v>24</v>
      </c>
      <c r="U14">
        <v>31.1</v>
      </c>
      <c r="V14">
        <v>21.1</v>
      </c>
      <c r="W14">
        <v>41.1</v>
      </c>
      <c r="X14">
        <v>38.9</v>
      </c>
      <c r="Y14">
        <v>43.333333333333336</v>
      </c>
      <c r="AC14">
        <v>8</v>
      </c>
      <c r="AD14">
        <v>2.2000000000000002</v>
      </c>
      <c r="AE14">
        <v>7.9</v>
      </c>
      <c r="AF14">
        <v>4</v>
      </c>
      <c r="AG14">
        <v>8.8000000000000007</v>
      </c>
    </row>
    <row r="15" spans="1:33">
      <c r="A15" t="s">
        <v>15</v>
      </c>
      <c r="B15">
        <v>5</v>
      </c>
      <c r="C15">
        <v>3</v>
      </c>
      <c r="D15">
        <v>5</v>
      </c>
      <c r="E15">
        <v>6</v>
      </c>
      <c r="F15">
        <v>4</v>
      </c>
      <c r="L15" s="5">
        <f t="shared" ref="L15:L19" si="1">(B15/15)*100</f>
        <v>33.333333333333329</v>
      </c>
      <c r="M15" s="5">
        <f t="shared" si="0"/>
        <v>20</v>
      </c>
      <c r="N15" s="5">
        <f t="shared" si="0"/>
        <v>33.333333333333329</v>
      </c>
      <c r="O15" s="5">
        <f t="shared" si="0"/>
        <v>40</v>
      </c>
      <c r="P15" s="5">
        <f t="shared" si="0"/>
        <v>26.666666666666668</v>
      </c>
      <c r="T15">
        <v>36</v>
      </c>
      <c r="U15">
        <v>36.1</v>
      </c>
      <c r="V15">
        <v>24.1</v>
      </c>
      <c r="W15">
        <v>41.3</v>
      </c>
      <c r="X15">
        <v>40</v>
      </c>
      <c r="Y15">
        <v>43.333333333333336</v>
      </c>
      <c r="AC15">
        <v>4.3</v>
      </c>
      <c r="AD15">
        <v>4.3</v>
      </c>
      <c r="AE15">
        <v>7.8</v>
      </c>
      <c r="AF15">
        <v>4.8</v>
      </c>
      <c r="AG15">
        <v>8.5</v>
      </c>
    </row>
    <row r="16" spans="1:33">
      <c r="A16" t="s">
        <v>16</v>
      </c>
      <c r="B16">
        <v>5</v>
      </c>
      <c r="C16">
        <v>3</v>
      </c>
      <c r="D16">
        <v>7</v>
      </c>
      <c r="E16">
        <v>5</v>
      </c>
      <c r="F16">
        <v>8</v>
      </c>
      <c r="L16" s="5">
        <f t="shared" si="1"/>
        <v>33.333333333333329</v>
      </c>
      <c r="M16" s="5">
        <f t="shared" si="0"/>
        <v>20</v>
      </c>
      <c r="N16" s="5">
        <f t="shared" si="0"/>
        <v>46.666666666666664</v>
      </c>
      <c r="O16" s="5">
        <f t="shared" si="0"/>
        <v>33.333333333333329</v>
      </c>
      <c r="P16" s="5">
        <f t="shared" si="0"/>
        <v>53.333333333333336</v>
      </c>
      <c r="T16">
        <v>48</v>
      </c>
      <c r="U16">
        <v>57.8</v>
      </c>
      <c r="V16">
        <v>60</v>
      </c>
      <c r="W16">
        <v>65.599999999999994</v>
      </c>
      <c r="X16">
        <v>56.7</v>
      </c>
      <c r="Y16">
        <v>61.1</v>
      </c>
      <c r="AC16">
        <v>2.8</v>
      </c>
      <c r="AD16">
        <v>6.7</v>
      </c>
      <c r="AE16">
        <v>2.2000000000000002</v>
      </c>
      <c r="AF16">
        <v>7.4</v>
      </c>
      <c r="AG16">
        <v>6.2</v>
      </c>
    </row>
    <row r="17" spans="1:33">
      <c r="A17" t="s">
        <v>17</v>
      </c>
      <c r="B17">
        <v>6</v>
      </c>
      <c r="C17">
        <v>4</v>
      </c>
      <c r="D17">
        <v>7</v>
      </c>
      <c r="E17">
        <v>5</v>
      </c>
      <c r="F17">
        <v>7</v>
      </c>
      <c r="L17" s="5">
        <f t="shared" si="1"/>
        <v>40</v>
      </c>
      <c r="M17" s="5">
        <f t="shared" si="0"/>
        <v>26.666666666666668</v>
      </c>
      <c r="N17" s="5">
        <f t="shared" si="0"/>
        <v>46.666666666666664</v>
      </c>
      <c r="O17" s="5">
        <f t="shared" si="0"/>
        <v>33.333333333333329</v>
      </c>
      <c r="P17" s="5">
        <f t="shared" si="0"/>
        <v>46.666666666666664</v>
      </c>
      <c r="T17">
        <v>60</v>
      </c>
      <c r="U17">
        <v>65.599999999999994</v>
      </c>
      <c r="V17">
        <v>63.3</v>
      </c>
      <c r="W17">
        <v>64.400000000000006</v>
      </c>
      <c r="X17">
        <v>65.599999999999994</v>
      </c>
      <c r="Y17">
        <v>62.2</v>
      </c>
      <c r="AC17">
        <v>4</v>
      </c>
      <c r="AD17">
        <v>5.6</v>
      </c>
      <c r="AE17">
        <v>2.8</v>
      </c>
      <c r="AF17">
        <v>5.2</v>
      </c>
      <c r="AG17">
        <v>5.5</v>
      </c>
    </row>
    <row r="18" spans="1:33">
      <c r="A18" t="s">
        <v>18</v>
      </c>
      <c r="B18">
        <v>4</v>
      </c>
      <c r="C18">
        <v>3</v>
      </c>
      <c r="D18">
        <v>8</v>
      </c>
      <c r="E18">
        <v>7</v>
      </c>
      <c r="F18">
        <v>8</v>
      </c>
      <c r="L18" s="5">
        <f t="shared" si="1"/>
        <v>26.666666666666668</v>
      </c>
      <c r="M18" s="5">
        <f t="shared" si="0"/>
        <v>20</v>
      </c>
      <c r="N18" s="5">
        <f t="shared" si="0"/>
        <v>53.333333333333336</v>
      </c>
      <c r="O18" s="5">
        <f t="shared" si="0"/>
        <v>46.666666666666664</v>
      </c>
      <c r="P18" s="5">
        <f t="shared" si="0"/>
        <v>53.333333333333336</v>
      </c>
      <c r="T18">
        <v>72</v>
      </c>
      <c r="U18">
        <v>66.7</v>
      </c>
      <c r="V18">
        <v>66.7</v>
      </c>
      <c r="W18">
        <v>64.400000000000006</v>
      </c>
      <c r="X18">
        <v>65.599999999999994</v>
      </c>
      <c r="Y18">
        <v>63.3</v>
      </c>
      <c r="AC18">
        <v>3.4</v>
      </c>
      <c r="AD18">
        <v>4.8</v>
      </c>
      <c r="AE18">
        <v>2.8</v>
      </c>
      <c r="AF18">
        <v>5.5</v>
      </c>
      <c r="AG18">
        <v>4.5</v>
      </c>
    </row>
    <row r="19" spans="1:33">
      <c r="A19" t="s">
        <v>19</v>
      </c>
      <c r="B19">
        <v>2</v>
      </c>
      <c r="C19">
        <v>3</v>
      </c>
      <c r="D19">
        <v>4</v>
      </c>
      <c r="E19">
        <v>6</v>
      </c>
      <c r="F19">
        <v>5</v>
      </c>
      <c r="L19" s="5">
        <f t="shared" si="1"/>
        <v>13.333333333333334</v>
      </c>
      <c r="M19" s="5">
        <f t="shared" si="0"/>
        <v>20</v>
      </c>
      <c r="N19" s="5">
        <f t="shared" si="0"/>
        <v>26.666666666666668</v>
      </c>
      <c r="O19" s="5">
        <f t="shared" si="0"/>
        <v>40</v>
      </c>
      <c r="P19" s="5">
        <f t="shared" si="0"/>
        <v>33.333333333333329</v>
      </c>
      <c r="T19">
        <v>84</v>
      </c>
      <c r="U19">
        <v>67.8</v>
      </c>
      <c r="V19">
        <v>71.099999999999994</v>
      </c>
      <c r="W19">
        <v>66.7</v>
      </c>
      <c r="X19">
        <v>68.900000000000006</v>
      </c>
      <c r="Y19">
        <v>63.3</v>
      </c>
      <c r="AC19">
        <v>4</v>
      </c>
      <c r="AD19">
        <v>4.4000000000000004</v>
      </c>
      <c r="AE19">
        <v>3.4</v>
      </c>
      <c r="AF19">
        <v>4.4000000000000004</v>
      </c>
      <c r="AG19">
        <v>4.5</v>
      </c>
    </row>
    <row r="20" spans="1:33">
      <c r="A20" t="s">
        <v>20</v>
      </c>
      <c r="B20" s="2">
        <f>AVERAGE(B14:B19)</f>
        <v>4.666666666666667</v>
      </c>
      <c r="C20" s="2">
        <f>AVERAGE(C14:C19)</f>
        <v>3.1666666666666665</v>
      </c>
      <c r="D20" s="2">
        <f>AVERAGE(D14:D19)</f>
        <v>6.166666666666667</v>
      </c>
      <c r="E20" s="2">
        <f>AVERAGE(E14:E19)</f>
        <v>5.833333333333333</v>
      </c>
      <c r="F20" s="2">
        <f>AVERAGE(F14:F19)</f>
        <v>6.5</v>
      </c>
      <c r="K20" t="s">
        <v>59</v>
      </c>
      <c r="L20" s="6">
        <f>AVERAGE(L14:L19)</f>
        <v>31.111111111111111</v>
      </c>
      <c r="M20" s="6">
        <f t="shared" ref="M20:P20" si="2">AVERAGE(M14:M19)</f>
        <v>21.111111111111111</v>
      </c>
      <c r="N20" s="7">
        <f t="shared" si="2"/>
        <v>41.111111111111107</v>
      </c>
      <c r="O20" s="7">
        <f t="shared" si="2"/>
        <v>38.888888888888886</v>
      </c>
      <c r="P20" s="7">
        <f t="shared" si="2"/>
        <v>43.333333333333336</v>
      </c>
      <c r="T20">
        <v>96</v>
      </c>
      <c r="U20">
        <v>71.099999999999994</v>
      </c>
      <c r="V20">
        <v>71.099999999999994</v>
      </c>
      <c r="W20">
        <v>68.900000000000006</v>
      </c>
      <c r="X20">
        <v>68.900000000000006</v>
      </c>
      <c r="Y20">
        <v>65.599999999999994</v>
      </c>
      <c r="AC20">
        <v>5.5</v>
      </c>
      <c r="AD20">
        <v>4.4000000000000004</v>
      </c>
      <c r="AE20">
        <v>4.4000000000000004</v>
      </c>
      <c r="AF20">
        <v>4.4000000000000004</v>
      </c>
      <c r="AG20">
        <v>4</v>
      </c>
    </row>
    <row r="21" spans="1:33">
      <c r="A21" t="s">
        <v>21</v>
      </c>
      <c r="B21" s="2">
        <f>STDEV(B14:B19)</f>
        <v>1.5055453054181624</v>
      </c>
      <c r="C21" s="2">
        <f>STDEV(C14:C19)</f>
        <v>0.40824829046386357</v>
      </c>
      <c r="D21" s="2">
        <f>STDEV(D14:D19)</f>
        <v>1.4719601443879753</v>
      </c>
      <c r="E21" s="2">
        <f>STDEV(E14:E19)</f>
        <v>0.75277265270908222</v>
      </c>
      <c r="F21" s="2">
        <f>STDEV(F14:F19)</f>
        <v>1.6431676725154984</v>
      </c>
      <c r="G21" s="2"/>
      <c r="K21" t="s">
        <v>60</v>
      </c>
      <c r="L21" s="5">
        <f>STDEV(L14:L19)</f>
        <v>10.036968702787753</v>
      </c>
      <c r="M21" s="5">
        <f t="shared" ref="M21:P21" si="3">STDEV(M14:M19)</f>
        <v>2.7216552697590837</v>
      </c>
      <c r="N21" s="5">
        <f t="shared" si="3"/>
        <v>9.8130676292531849</v>
      </c>
      <c r="O21" s="5">
        <f t="shared" si="3"/>
        <v>5.0184843513938944</v>
      </c>
      <c r="P21" s="5">
        <f t="shared" si="3"/>
        <v>10.954451150103338</v>
      </c>
      <c r="T21">
        <v>108</v>
      </c>
      <c r="U21">
        <v>71.099999999999994</v>
      </c>
      <c r="V21">
        <v>71.099999999999994</v>
      </c>
      <c r="W21">
        <v>68.900000000000006</v>
      </c>
      <c r="X21">
        <v>70</v>
      </c>
      <c r="Y21">
        <v>68.900000000000006</v>
      </c>
      <c r="AC21">
        <v>5.5</v>
      </c>
      <c r="AD21">
        <v>4.4000000000000004</v>
      </c>
      <c r="AE21">
        <v>4.4000000000000004</v>
      </c>
      <c r="AF21">
        <v>4.5</v>
      </c>
      <c r="AG21">
        <v>5.5</v>
      </c>
    </row>
    <row r="22" spans="1:33">
      <c r="A22" t="s">
        <v>22</v>
      </c>
      <c r="B22" s="1">
        <f>CONFIDENCE(0.5,B21,6)</f>
        <v>0.41456588252807691</v>
      </c>
      <c r="C22" s="1">
        <f>CONFIDENCE(0.5,C21,6)</f>
        <v>0.11241495836601381</v>
      </c>
      <c r="D22" s="1">
        <f>CONFIDENCE(0.5,D21,6)</f>
        <v>0.40531789651781203</v>
      </c>
      <c r="E22" s="1">
        <f>CONFIDENCE(0.5,E21,6)</f>
        <v>0.20728294126403871</v>
      </c>
      <c r="F22" s="1">
        <f>CONFIDENCE(0.5,F21,6)</f>
        <v>0.45246147946958748</v>
      </c>
      <c r="K22" t="s">
        <v>61</v>
      </c>
      <c r="L22" s="5">
        <f>CONFIDENCE(0.05,L21,6)</f>
        <v>8.0311000400710881</v>
      </c>
      <c r="M22" s="5">
        <f t="shared" ref="M22:P22" si="4">CONFIDENCE(0.05,M21,6)</f>
        <v>2.1777377606000576</v>
      </c>
      <c r="N22" s="5">
        <f t="shared" si="4"/>
        <v>7.851945160357654</v>
      </c>
      <c r="O22" s="5">
        <f t="shared" si="4"/>
        <v>4.0155500200355574</v>
      </c>
      <c r="P22" s="5">
        <f t="shared" si="4"/>
        <v>8.7652254057658272</v>
      </c>
      <c r="T22">
        <v>120</v>
      </c>
      <c r="U22">
        <v>71.099999999999994</v>
      </c>
      <c r="V22">
        <v>71.099999999999994</v>
      </c>
      <c r="W22">
        <v>68.900000000000006</v>
      </c>
      <c r="X22">
        <v>70</v>
      </c>
      <c r="Y22">
        <v>68.900000000000006</v>
      </c>
      <c r="AC22">
        <v>5.5</v>
      </c>
      <c r="AD22">
        <v>4.4000000000000004</v>
      </c>
      <c r="AE22">
        <v>4.4000000000000004</v>
      </c>
      <c r="AF22">
        <v>4.5</v>
      </c>
      <c r="AG22">
        <v>3.4</v>
      </c>
    </row>
    <row r="23" spans="1:33">
      <c r="T23">
        <v>132</v>
      </c>
      <c r="U23">
        <v>71.099999999999994</v>
      </c>
      <c r="V23">
        <v>71.099999999999994</v>
      </c>
      <c r="W23">
        <v>68.900000000000006</v>
      </c>
      <c r="X23">
        <v>70</v>
      </c>
      <c r="Y23">
        <v>68.900000000000006</v>
      </c>
      <c r="AC23">
        <v>5.5</v>
      </c>
      <c r="AD23">
        <v>4.4000000000000004</v>
      </c>
      <c r="AE23">
        <v>4.4000000000000004</v>
      </c>
      <c r="AF23">
        <v>4.5</v>
      </c>
      <c r="AG23">
        <v>3.4</v>
      </c>
    </row>
    <row r="24" spans="1:33">
      <c r="T24">
        <v>144</v>
      </c>
      <c r="U24">
        <v>71.099999999999994</v>
      </c>
      <c r="V24">
        <v>71.099999999999994</v>
      </c>
      <c r="W24">
        <v>68.900000000000006</v>
      </c>
      <c r="X24">
        <v>70</v>
      </c>
      <c r="Y24">
        <v>68.900000000000006</v>
      </c>
      <c r="AC24">
        <v>5.5</v>
      </c>
      <c r="AD24">
        <v>4.4000000000000004</v>
      </c>
      <c r="AE24">
        <v>4.4000000000000004</v>
      </c>
      <c r="AF24">
        <v>4.5</v>
      </c>
      <c r="AG24">
        <v>3.4</v>
      </c>
    </row>
    <row r="25" spans="1:33">
      <c r="C25" t="s">
        <v>23</v>
      </c>
      <c r="M25" t="s">
        <v>49</v>
      </c>
    </row>
    <row r="26" spans="1:33">
      <c r="B26" t="s">
        <v>24</v>
      </c>
      <c r="C26" t="s">
        <v>25</v>
      </c>
      <c r="D26" t="s">
        <v>26</v>
      </c>
      <c r="E26" t="s">
        <v>27</v>
      </c>
      <c r="F26" t="s">
        <v>28</v>
      </c>
    </row>
    <row r="27" spans="1:33">
      <c r="A27">
        <v>1</v>
      </c>
      <c r="B27">
        <v>6</v>
      </c>
      <c r="C27">
        <v>4</v>
      </c>
      <c r="D27">
        <v>6</v>
      </c>
      <c r="E27">
        <v>6</v>
      </c>
      <c r="F27">
        <v>7</v>
      </c>
      <c r="L27" s="5">
        <f t="shared" ref="L27:L32" si="5">(B27/15)*100</f>
        <v>40</v>
      </c>
      <c r="M27" s="5">
        <f t="shared" ref="M27:M32" si="6">(C27/15)*100</f>
        <v>26.666666666666668</v>
      </c>
      <c r="N27" s="5">
        <f t="shared" ref="N27:N32" si="7">(D27/15)*100</f>
        <v>40</v>
      </c>
      <c r="O27" s="5">
        <f t="shared" ref="O27:O32" si="8">(E27/15)*100</f>
        <v>40</v>
      </c>
      <c r="P27" s="5">
        <f t="shared" ref="P27:P32" si="9">(F27/15)*100</f>
        <v>46.666666666666664</v>
      </c>
    </row>
    <row r="28" spans="1:33">
      <c r="A28">
        <v>2</v>
      </c>
      <c r="B28">
        <v>6</v>
      </c>
      <c r="C28">
        <v>3</v>
      </c>
      <c r="D28">
        <v>5</v>
      </c>
      <c r="E28">
        <v>6</v>
      </c>
      <c r="F28">
        <v>4</v>
      </c>
      <c r="L28" s="5">
        <f t="shared" si="5"/>
        <v>40</v>
      </c>
      <c r="M28" s="5">
        <f t="shared" si="6"/>
        <v>20</v>
      </c>
      <c r="N28" s="5">
        <f t="shared" si="7"/>
        <v>33.333333333333329</v>
      </c>
      <c r="O28" s="5">
        <f t="shared" si="8"/>
        <v>40</v>
      </c>
      <c r="P28" s="5">
        <f t="shared" si="9"/>
        <v>26.666666666666668</v>
      </c>
    </row>
    <row r="29" spans="1:33">
      <c r="A29">
        <v>3</v>
      </c>
      <c r="B29">
        <v>5</v>
      </c>
      <c r="C29">
        <v>5</v>
      </c>
      <c r="D29">
        <v>7</v>
      </c>
      <c r="E29">
        <v>5</v>
      </c>
      <c r="F29">
        <v>8</v>
      </c>
      <c r="L29" s="5">
        <f t="shared" si="5"/>
        <v>33.333333333333329</v>
      </c>
      <c r="M29" s="5">
        <f t="shared" si="6"/>
        <v>33.333333333333329</v>
      </c>
      <c r="N29" s="5">
        <f t="shared" si="7"/>
        <v>46.666666666666664</v>
      </c>
      <c r="O29" s="5">
        <f t="shared" si="8"/>
        <v>33.333333333333329</v>
      </c>
      <c r="P29" s="5">
        <f t="shared" si="9"/>
        <v>53.333333333333336</v>
      </c>
    </row>
    <row r="30" spans="1:33">
      <c r="A30">
        <v>4</v>
      </c>
      <c r="B30">
        <v>6</v>
      </c>
      <c r="C30">
        <v>4</v>
      </c>
      <c r="D30">
        <v>7</v>
      </c>
      <c r="E30">
        <v>5</v>
      </c>
      <c r="F30">
        <v>7</v>
      </c>
      <c r="L30" s="5">
        <f t="shared" si="5"/>
        <v>40</v>
      </c>
      <c r="M30" s="5">
        <f t="shared" si="6"/>
        <v>26.666666666666668</v>
      </c>
      <c r="N30" s="5">
        <f t="shared" si="7"/>
        <v>46.666666666666664</v>
      </c>
      <c r="O30" s="5">
        <f t="shared" si="8"/>
        <v>33.333333333333329</v>
      </c>
      <c r="P30" s="5">
        <f t="shared" si="9"/>
        <v>46.666666666666664</v>
      </c>
    </row>
    <row r="31" spans="1:33">
      <c r="A31">
        <v>5</v>
      </c>
      <c r="B31">
        <v>4</v>
      </c>
      <c r="C31">
        <v>3</v>
      </c>
      <c r="D31">
        <v>8</v>
      </c>
      <c r="E31">
        <v>7</v>
      </c>
      <c r="F31">
        <v>8</v>
      </c>
      <c r="L31" s="5">
        <f t="shared" si="5"/>
        <v>26.666666666666668</v>
      </c>
      <c r="M31" s="5">
        <f t="shared" si="6"/>
        <v>20</v>
      </c>
      <c r="N31" s="5">
        <f t="shared" si="7"/>
        <v>53.333333333333336</v>
      </c>
      <c r="O31" s="5">
        <f t="shared" si="8"/>
        <v>46.666666666666664</v>
      </c>
      <c r="P31" s="5">
        <f t="shared" si="9"/>
        <v>53.333333333333336</v>
      </c>
    </row>
    <row r="32" spans="1:33">
      <c r="A32">
        <v>6</v>
      </c>
      <c r="B32">
        <v>6</v>
      </c>
      <c r="C32">
        <v>3</v>
      </c>
      <c r="D32">
        <v>4</v>
      </c>
      <c r="E32">
        <v>7</v>
      </c>
      <c r="F32">
        <v>5</v>
      </c>
      <c r="L32" s="5">
        <f t="shared" si="5"/>
        <v>40</v>
      </c>
      <c r="M32" s="5">
        <f t="shared" si="6"/>
        <v>20</v>
      </c>
      <c r="N32" s="5">
        <f t="shared" si="7"/>
        <v>26.666666666666668</v>
      </c>
      <c r="O32" s="5">
        <f t="shared" si="8"/>
        <v>46.666666666666664</v>
      </c>
      <c r="P32" s="5">
        <f t="shared" si="9"/>
        <v>33.333333333333329</v>
      </c>
    </row>
    <row r="33" spans="1:16">
      <c r="A33" t="s">
        <v>29</v>
      </c>
      <c r="B33" s="2">
        <f>AVERAGE(B27:B32)</f>
        <v>5.5</v>
      </c>
      <c r="C33" s="2">
        <f>AVERAGE(C27:C32)</f>
        <v>3.6666666666666665</v>
      </c>
      <c r="D33" s="2">
        <f>AVERAGE(D27:D32)</f>
        <v>6.166666666666667</v>
      </c>
      <c r="E33" s="2">
        <f>AVERAGE(E27:E32)</f>
        <v>6</v>
      </c>
      <c r="F33" s="2">
        <f>AVERAGE(F27:F32)</f>
        <v>6.5</v>
      </c>
      <c r="L33" s="6">
        <f>AVERAGE(L27:L32)</f>
        <v>36.666666666666664</v>
      </c>
      <c r="M33" s="6">
        <f>AVERAGE(M27:M32)</f>
        <v>24.444444444444446</v>
      </c>
      <c r="N33" s="7">
        <f>AVERAGE(N27:N32)</f>
        <v>41.111111111111107</v>
      </c>
      <c r="O33" s="7">
        <f>AVERAGE(O27:O32)</f>
        <v>39.999999999999993</v>
      </c>
      <c r="P33" s="7">
        <f>AVERAGE(P27:P32)</f>
        <v>43.333333333333336</v>
      </c>
    </row>
    <row r="34" spans="1:16">
      <c r="A34" t="s">
        <v>30</v>
      </c>
      <c r="B34" s="1">
        <f>STDEV(B27:B32)</f>
        <v>0.83666002653407556</v>
      </c>
      <c r="C34" s="1">
        <f>STDEV(C27:C32)</f>
        <v>0.81649658092772548</v>
      </c>
      <c r="D34" s="1">
        <f>STDEV(D27:D32)</f>
        <v>1.4719601443879753</v>
      </c>
      <c r="E34" s="1">
        <f>STDEV(E27:E32)</f>
        <v>0.89442719099991586</v>
      </c>
      <c r="F34" s="1">
        <f>STDEV(F27:F32)</f>
        <v>1.6431676725154984</v>
      </c>
      <c r="G34" s="1"/>
      <c r="L34" s="5">
        <f>STDEV(L27:L32)</f>
        <v>5.5777335102272207</v>
      </c>
      <c r="M34" s="5">
        <f>STDEV(M27:M32)</f>
        <v>5.4433105395181585</v>
      </c>
      <c r="N34" s="5">
        <f>STDEV(N27:N32)</f>
        <v>9.8130676292531849</v>
      </c>
      <c r="O34" s="5">
        <f>STDEV(O27:O32)</f>
        <v>5.9628479399994632</v>
      </c>
      <c r="P34" s="5">
        <f>STDEV(P27:P32)</f>
        <v>10.954451150103338</v>
      </c>
    </row>
    <row r="35" spans="1:16">
      <c r="A35" t="s">
        <v>31</v>
      </c>
      <c r="B35" s="1">
        <f>CONFIDENCE(0.5,B34,6)</f>
        <v>0.23038210874678802</v>
      </c>
      <c r="C35" s="1">
        <f>CONFIDENCE(0.5,C34,6)</f>
        <v>0.22482991673202718</v>
      </c>
      <c r="D35" s="1">
        <f>CONFIDENCE(0.5,D34,6)</f>
        <v>0.40531789651781203</v>
      </c>
      <c r="E35" s="1">
        <f>CONFIDENCE(0.5,E34,6)</f>
        <v>0.2462888339922791</v>
      </c>
      <c r="F35" s="1">
        <f>CONFIDENCE(0.5,F34,6)</f>
        <v>0.45246147946958726</v>
      </c>
      <c r="L35" s="5">
        <f>CONFIDENCE(0.05,L34,6)</f>
        <v>4.463034322808026</v>
      </c>
      <c r="M35" s="5">
        <f t="shared" ref="M35:P35" si="10">CONFIDENCE(0.05,M34,6)</f>
        <v>4.3554755212001082</v>
      </c>
      <c r="N35" s="5">
        <f t="shared" si="10"/>
        <v>7.8519451603576558</v>
      </c>
      <c r="O35" s="5">
        <f t="shared" si="10"/>
        <v>4.7711843832457719</v>
      </c>
      <c r="P35" s="5">
        <f t="shared" si="10"/>
        <v>8.765225405765829</v>
      </c>
    </row>
    <row r="37" spans="1:16">
      <c r="B37" t="s">
        <v>32</v>
      </c>
    </row>
    <row r="38" spans="1:16">
      <c r="B38" t="s">
        <v>24</v>
      </c>
      <c r="C38" t="s">
        <v>25</v>
      </c>
      <c r="D38" t="s">
        <v>26</v>
      </c>
      <c r="E38" t="s">
        <v>27</v>
      </c>
      <c r="F38" t="s">
        <v>28</v>
      </c>
      <c r="M38" t="s">
        <v>50</v>
      </c>
    </row>
    <row r="39" spans="1:16">
      <c r="A39">
        <v>1</v>
      </c>
      <c r="B39">
        <v>9</v>
      </c>
      <c r="C39">
        <v>8</v>
      </c>
      <c r="D39">
        <v>10</v>
      </c>
      <c r="E39">
        <v>10</v>
      </c>
      <c r="F39">
        <v>11</v>
      </c>
      <c r="L39" s="5">
        <f t="shared" ref="L39:L44" si="11">(B39/15)*100</f>
        <v>60</v>
      </c>
      <c r="M39" s="5">
        <f t="shared" ref="M39:M44" si="12">(C39/15)*100</f>
        <v>53.333333333333336</v>
      </c>
      <c r="N39" s="5">
        <f t="shared" ref="N39:N44" si="13">(D39/15)*100</f>
        <v>66.666666666666657</v>
      </c>
      <c r="O39" s="5">
        <f t="shared" ref="O39:O44" si="14">(E39/15)*100</f>
        <v>66.666666666666657</v>
      </c>
      <c r="P39" s="5">
        <f t="shared" ref="P39:P44" si="15">(F39/15)*100</f>
        <v>73.333333333333329</v>
      </c>
    </row>
    <row r="40" spans="1:16">
      <c r="A40">
        <v>2</v>
      </c>
      <c r="B40">
        <v>9</v>
      </c>
      <c r="C40">
        <v>10</v>
      </c>
      <c r="D40">
        <v>10</v>
      </c>
      <c r="E40">
        <v>8</v>
      </c>
      <c r="F40">
        <v>8</v>
      </c>
      <c r="L40" s="5">
        <f t="shared" si="11"/>
        <v>60</v>
      </c>
      <c r="M40" s="5">
        <f t="shared" si="12"/>
        <v>66.666666666666657</v>
      </c>
      <c r="N40" s="5">
        <f t="shared" si="13"/>
        <v>66.666666666666657</v>
      </c>
      <c r="O40" s="5">
        <f t="shared" si="14"/>
        <v>53.333333333333336</v>
      </c>
      <c r="P40" s="5">
        <f t="shared" si="15"/>
        <v>53.333333333333336</v>
      </c>
    </row>
    <row r="41" spans="1:16">
      <c r="A41">
        <v>3</v>
      </c>
      <c r="B41">
        <v>9</v>
      </c>
      <c r="C41">
        <v>9</v>
      </c>
      <c r="D41">
        <v>9</v>
      </c>
      <c r="E41">
        <v>7</v>
      </c>
      <c r="F41">
        <v>9</v>
      </c>
      <c r="L41" s="5">
        <f t="shared" si="11"/>
        <v>60</v>
      </c>
      <c r="M41" s="5">
        <f t="shared" si="12"/>
        <v>60</v>
      </c>
      <c r="N41" s="5">
        <f t="shared" si="13"/>
        <v>60</v>
      </c>
      <c r="O41" s="5">
        <f t="shared" si="14"/>
        <v>46.666666666666664</v>
      </c>
      <c r="P41" s="5">
        <f t="shared" si="15"/>
        <v>60</v>
      </c>
    </row>
    <row r="42" spans="1:16">
      <c r="A42">
        <v>4</v>
      </c>
      <c r="B42">
        <v>8</v>
      </c>
      <c r="C42">
        <v>8</v>
      </c>
      <c r="D42">
        <v>10</v>
      </c>
      <c r="E42">
        <v>9</v>
      </c>
      <c r="F42">
        <v>9</v>
      </c>
      <c r="L42" s="5">
        <f t="shared" si="11"/>
        <v>53.333333333333336</v>
      </c>
      <c r="M42" s="5">
        <f t="shared" si="12"/>
        <v>53.333333333333336</v>
      </c>
      <c r="N42" s="5">
        <f t="shared" si="13"/>
        <v>66.666666666666657</v>
      </c>
      <c r="O42" s="5">
        <f t="shared" si="14"/>
        <v>60</v>
      </c>
      <c r="P42" s="5">
        <f t="shared" si="15"/>
        <v>60</v>
      </c>
    </row>
    <row r="43" spans="1:16">
      <c r="A43">
        <v>5</v>
      </c>
      <c r="B43">
        <v>8</v>
      </c>
      <c r="C43">
        <v>8</v>
      </c>
      <c r="D43">
        <v>10</v>
      </c>
      <c r="E43">
        <v>10</v>
      </c>
      <c r="F43">
        <v>10</v>
      </c>
      <c r="L43" s="5">
        <f t="shared" si="11"/>
        <v>53.333333333333336</v>
      </c>
      <c r="M43" s="5">
        <f t="shared" si="12"/>
        <v>53.333333333333336</v>
      </c>
      <c r="N43" s="5">
        <f t="shared" si="13"/>
        <v>66.666666666666657</v>
      </c>
      <c r="O43" s="5">
        <f t="shared" si="14"/>
        <v>66.666666666666657</v>
      </c>
      <c r="P43" s="5">
        <f t="shared" si="15"/>
        <v>66.666666666666657</v>
      </c>
    </row>
    <row r="44" spans="1:16">
      <c r="A44">
        <v>6</v>
      </c>
      <c r="B44">
        <v>9</v>
      </c>
      <c r="C44">
        <v>11</v>
      </c>
      <c r="D44">
        <v>10</v>
      </c>
      <c r="E44">
        <v>7</v>
      </c>
      <c r="F44">
        <v>8</v>
      </c>
      <c r="L44" s="5">
        <f t="shared" si="11"/>
        <v>60</v>
      </c>
      <c r="M44" s="5">
        <f t="shared" si="12"/>
        <v>73.333333333333329</v>
      </c>
      <c r="N44" s="5">
        <f t="shared" si="13"/>
        <v>66.666666666666657</v>
      </c>
      <c r="O44" s="5">
        <f t="shared" si="14"/>
        <v>46.666666666666664</v>
      </c>
      <c r="P44" s="5">
        <f t="shared" si="15"/>
        <v>53.333333333333336</v>
      </c>
    </row>
    <row r="45" spans="1:16">
      <c r="A45" t="s">
        <v>33</v>
      </c>
      <c r="B45" s="1">
        <f>AVERAGE(B39:B44)</f>
        <v>8.6666666666666661</v>
      </c>
      <c r="C45" s="1">
        <f>AVERAGE(C39:C44)</f>
        <v>9</v>
      </c>
      <c r="D45" s="1">
        <f>AVERAGE(D39:D44)</f>
        <v>9.8333333333333339</v>
      </c>
      <c r="E45" s="1">
        <f>AVERAGE(E39:E44)</f>
        <v>8.5</v>
      </c>
      <c r="F45" s="1">
        <f>AVERAGE(F39:F44)</f>
        <v>9.1666666666666661</v>
      </c>
      <c r="L45" s="6">
        <f t="shared" ref="L45" si="16">AVERAGE(L39:L44)</f>
        <v>57.777777777777779</v>
      </c>
      <c r="M45" s="6">
        <f t="shared" ref="M45" si="17">AVERAGE(M39:M44)</f>
        <v>60</v>
      </c>
      <c r="N45" s="5">
        <f t="shared" ref="N45" si="18">AVERAGE(N39:N44)</f>
        <v>65.555555555555543</v>
      </c>
      <c r="O45" s="5">
        <f t="shared" ref="O45" si="19">AVERAGE(O39:O44)</f>
        <v>56.666666666666664</v>
      </c>
      <c r="P45" s="5">
        <f t="shared" ref="P45" si="20">AVERAGE(P39:P44)</f>
        <v>61.111111111111107</v>
      </c>
    </row>
    <row r="46" spans="1:16">
      <c r="A46" t="s">
        <v>30</v>
      </c>
      <c r="B46" s="3">
        <f>AVERAGE(B39:B44)</f>
        <v>8.6666666666666661</v>
      </c>
      <c r="C46" s="3">
        <f>AVERAGE(C39:C44)</f>
        <v>9</v>
      </c>
      <c r="D46" s="3">
        <f>AVERAGE(D39:D44)</f>
        <v>9.8333333333333339</v>
      </c>
      <c r="E46" s="3">
        <f>AVERAGE(E39:E44)</f>
        <v>8.5</v>
      </c>
      <c r="F46" s="3">
        <f>AVERAGE(F39:F44)</f>
        <v>9.1666666666666661</v>
      </c>
      <c r="L46" s="5">
        <f t="shared" ref="L46:P46" si="21">STDEV(L39:L44)</f>
        <v>3.4426518632954801</v>
      </c>
      <c r="M46" s="5">
        <f t="shared" si="21"/>
        <v>8.4327404271156681</v>
      </c>
      <c r="N46" s="5">
        <f t="shared" si="21"/>
        <v>2.7216552697590832</v>
      </c>
      <c r="O46" s="5">
        <f t="shared" si="21"/>
        <v>9.1893658347267788</v>
      </c>
      <c r="P46" s="5">
        <f t="shared" si="21"/>
        <v>7.7936346296668031</v>
      </c>
    </row>
    <row r="47" spans="1:16">
      <c r="A47" t="s">
        <v>34</v>
      </c>
      <c r="B47" s="3">
        <f>CONFIDENCE(0.5,B46,6)</f>
        <v>2.3864471579255535</v>
      </c>
      <c r="C47" s="3">
        <f>CONFIDENCE(0.5,C46,6)</f>
        <v>2.4782335870765362</v>
      </c>
      <c r="D47" s="3">
        <f>CONFIDENCE(0.5,D46,6)</f>
        <v>2.7076996599539935</v>
      </c>
      <c r="E47" s="3">
        <f>CONFIDENCE(0.5,E46,6)</f>
        <v>2.3405539433500624</v>
      </c>
      <c r="F47" s="3">
        <f>CONFIDENCE(0.5,F46,6)</f>
        <v>2.5241268016520277</v>
      </c>
      <c r="L47" s="5">
        <f t="shared" ref="L47" si="22">CONFIDENCE(0.05,L46,6)</f>
        <v>2.7546445880202723</v>
      </c>
      <c r="M47" s="5">
        <f t="shared" ref="M47" si="23">CONFIDENCE(0.05,M46,6)</f>
        <v>6.7474736633688446</v>
      </c>
      <c r="N47" s="5">
        <f t="shared" ref="N47" si="24">CONFIDENCE(0.05,N46,6)</f>
        <v>2.1777377606000572</v>
      </c>
      <c r="O47" s="5">
        <f t="shared" ref="O47" si="25">CONFIDENCE(0.05,O46,6)</f>
        <v>7.3528889557067245</v>
      </c>
      <c r="P47" s="5">
        <f t="shared" ref="P47" si="26">CONFIDENCE(0.05,P46,6)</f>
        <v>6.2360919158024073</v>
      </c>
    </row>
    <row r="50" spans="1:16">
      <c r="B50" t="s">
        <v>35</v>
      </c>
      <c r="M50" t="s">
        <v>51</v>
      </c>
    </row>
    <row r="51" spans="1:16">
      <c r="B51" t="s">
        <v>24</v>
      </c>
      <c r="C51" t="s">
        <v>25</v>
      </c>
      <c r="D51" t="s">
        <v>26</v>
      </c>
      <c r="E51" t="s">
        <v>27</v>
      </c>
      <c r="F51" t="s">
        <v>28</v>
      </c>
    </row>
    <row r="52" spans="1:16">
      <c r="A52">
        <v>1</v>
      </c>
      <c r="B52">
        <v>9</v>
      </c>
      <c r="C52">
        <v>10</v>
      </c>
      <c r="D52">
        <v>9</v>
      </c>
      <c r="E52">
        <v>10</v>
      </c>
      <c r="F52">
        <v>11</v>
      </c>
      <c r="L52" s="5">
        <f t="shared" ref="L52:L57" si="27">(B52/15)*100</f>
        <v>60</v>
      </c>
      <c r="M52" s="5">
        <f t="shared" ref="M52:M57" si="28">(C52/15)*100</f>
        <v>66.666666666666657</v>
      </c>
      <c r="N52" s="5">
        <f t="shared" ref="N52:N57" si="29">(D52/15)*100</f>
        <v>60</v>
      </c>
      <c r="O52" s="5">
        <f t="shared" ref="O52:O57" si="30">(E52/15)*100</f>
        <v>66.666666666666657</v>
      </c>
      <c r="P52" s="5">
        <f t="shared" ref="P52:P57" si="31">(F52/15)*100</f>
        <v>73.333333333333329</v>
      </c>
    </row>
    <row r="53" spans="1:16">
      <c r="A53">
        <v>2</v>
      </c>
      <c r="B53">
        <v>10</v>
      </c>
      <c r="C53">
        <v>10</v>
      </c>
      <c r="D53">
        <v>9</v>
      </c>
      <c r="E53">
        <v>9</v>
      </c>
      <c r="F53">
        <v>9</v>
      </c>
      <c r="L53" s="5">
        <f t="shared" si="27"/>
        <v>66.666666666666657</v>
      </c>
      <c r="M53" s="5">
        <f t="shared" si="28"/>
        <v>66.666666666666657</v>
      </c>
      <c r="N53" s="5">
        <f t="shared" si="29"/>
        <v>60</v>
      </c>
      <c r="O53" s="5">
        <f t="shared" si="30"/>
        <v>60</v>
      </c>
      <c r="P53" s="5">
        <f t="shared" si="31"/>
        <v>60</v>
      </c>
    </row>
    <row r="54" spans="1:16">
      <c r="A54">
        <v>3</v>
      </c>
      <c r="B54">
        <v>10</v>
      </c>
      <c r="C54">
        <v>9</v>
      </c>
      <c r="D54">
        <v>10</v>
      </c>
      <c r="E54">
        <v>9</v>
      </c>
      <c r="F54">
        <v>9</v>
      </c>
      <c r="L54" s="5">
        <f t="shared" si="27"/>
        <v>66.666666666666657</v>
      </c>
      <c r="M54" s="5">
        <f t="shared" si="28"/>
        <v>60</v>
      </c>
      <c r="N54" s="5">
        <f t="shared" si="29"/>
        <v>66.666666666666657</v>
      </c>
      <c r="O54" s="5">
        <f t="shared" si="30"/>
        <v>60</v>
      </c>
      <c r="P54" s="5">
        <f t="shared" si="31"/>
        <v>60</v>
      </c>
    </row>
    <row r="55" spans="1:16">
      <c r="A55">
        <v>4</v>
      </c>
      <c r="B55">
        <v>11</v>
      </c>
      <c r="C55">
        <v>8</v>
      </c>
      <c r="D55">
        <v>10</v>
      </c>
      <c r="E55">
        <v>11</v>
      </c>
      <c r="F55">
        <v>9</v>
      </c>
      <c r="L55" s="5">
        <f t="shared" si="27"/>
        <v>73.333333333333329</v>
      </c>
      <c r="M55" s="5">
        <f t="shared" si="28"/>
        <v>53.333333333333336</v>
      </c>
      <c r="N55" s="5">
        <f t="shared" si="29"/>
        <v>66.666666666666657</v>
      </c>
      <c r="O55" s="5">
        <f t="shared" si="30"/>
        <v>73.333333333333329</v>
      </c>
      <c r="P55" s="5">
        <f t="shared" si="31"/>
        <v>60</v>
      </c>
    </row>
    <row r="56" spans="1:16">
      <c r="A56">
        <v>5</v>
      </c>
      <c r="B56">
        <v>9</v>
      </c>
      <c r="C56">
        <v>9</v>
      </c>
      <c r="D56">
        <v>10</v>
      </c>
      <c r="E56">
        <v>11</v>
      </c>
      <c r="F56">
        <v>10</v>
      </c>
      <c r="L56" s="5">
        <f t="shared" si="27"/>
        <v>60</v>
      </c>
      <c r="M56" s="5">
        <f t="shared" si="28"/>
        <v>60</v>
      </c>
      <c r="N56" s="5">
        <f t="shared" si="29"/>
        <v>66.666666666666657</v>
      </c>
      <c r="O56" s="5">
        <f t="shared" si="30"/>
        <v>73.333333333333329</v>
      </c>
      <c r="P56" s="5">
        <f t="shared" si="31"/>
        <v>66.666666666666657</v>
      </c>
    </row>
    <row r="57" spans="1:16">
      <c r="A57">
        <v>6</v>
      </c>
      <c r="B57">
        <v>10</v>
      </c>
      <c r="C57">
        <v>11</v>
      </c>
      <c r="D57">
        <v>10</v>
      </c>
      <c r="E57">
        <v>9</v>
      </c>
      <c r="F57">
        <v>8</v>
      </c>
      <c r="L57" s="5">
        <f t="shared" si="27"/>
        <v>66.666666666666657</v>
      </c>
      <c r="M57" s="5">
        <f t="shared" si="28"/>
        <v>73.333333333333329</v>
      </c>
      <c r="N57" s="5">
        <f t="shared" si="29"/>
        <v>66.666666666666657</v>
      </c>
      <c r="O57" s="5">
        <f t="shared" si="30"/>
        <v>60</v>
      </c>
      <c r="P57" s="5">
        <f t="shared" si="31"/>
        <v>53.333333333333336</v>
      </c>
    </row>
    <row r="58" spans="1:16">
      <c r="A58" t="s">
        <v>29</v>
      </c>
      <c r="B58" s="2">
        <f>AVERAGE(B52:B57)</f>
        <v>9.8333333333333339</v>
      </c>
      <c r="C58" s="2">
        <f>AVERAGE(C52:C57)</f>
        <v>9.5</v>
      </c>
      <c r="D58" s="2">
        <f>AVERAGE(D52:D57)</f>
        <v>9.6666666666666661</v>
      </c>
      <c r="E58" s="2">
        <f>AVERAGE(E52:E57)</f>
        <v>9.8333333333333339</v>
      </c>
      <c r="F58" s="2">
        <f>AVERAGE(F52:F57)</f>
        <v>9.3333333333333339</v>
      </c>
      <c r="L58" s="6">
        <f t="shared" ref="L58" si="32">AVERAGE(L52:L57)</f>
        <v>65.555555555555543</v>
      </c>
      <c r="M58" s="6">
        <f t="shared" ref="M58" si="33">AVERAGE(M52:M57)</f>
        <v>63.333333333333321</v>
      </c>
      <c r="N58" s="5">
        <f t="shared" ref="N58" si="34">AVERAGE(N52:N57)</f>
        <v>64.444444444444443</v>
      </c>
      <c r="O58" s="5">
        <f t="shared" ref="O58" si="35">AVERAGE(O52:O57)</f>
        <v>65.555555555555557</v>
      </c>
      <c r="P58" s="5">
        <f t="shared" ref="P58" si="36">AVERAGE(P52:P57)</f>
        <v>62.222222222222221</v>
      </c>
    </row>
    <row r="59" spans="1:16">
      <c r="L59" s="5">
        <f t="shared" ref="L59:P59" si="37">STDEV(L52:L57)</f>
        <v>5.0184843513938704</v>
      </c>
      <c r="M59" s="5">
        <f t="shared" si="37"/>
        <v>6.9920589878010739</v>
      </c>
      <c r="N59" s="5">
        <f t="shared" si="37"/>
        <v>3.4426518632954766</v>
      </c>
      <c r="O59" s="5">
        <f t="shared" si="37"/>
        <v>6.5546138683344974</v>
      </c>
      <c r="P59" s="5">
        <f t="shared" si="37"/>
        <v>6.8853037265910082</v>
      </c>
    </row>
    <row r="60" spans="1:16">
      <c r="L60" s="5">
        <f t="shared" ref="L60" si="38">CONFIDENCE(0.05,L59,6)</f>
        <v>4.0155500200355387</v>
      </c>
      <c r="M60" s="5">
        <f t="shared" ref="M60" si="39">CONFIDENCE(0.05,M59,6)</f>
        <v>5.594709606049876</v>
      </c>
      <c r="N60" s="5">
        <f t="shared" ref="N60" si="40">CONFIDENCE(0.05,N59,6)</f>
        <v>2.7546445880202692</v>
      </c>
      <c r="O60" s="5">
        <f t="shared" ref="O60" si="41">CONFIDENCE(0.05,O59,6)</f>
        <v>5.2446870424145882</v>
      </c>
      <c r="P60" s="5">
        <f t="shared" ref="P60" si="42">CONFIDENCE(0.05,P59,6)</f>
        <v>5.5092891760405829</v>
      </c>
    </row>
    <row r="61" spans="1:16">
      <c r="B61" t="s">
        <v>36</v>
      </c>
    </row>
    <row r="62" spans="1:16">
      <c r="B62" t="s">
        <v>24</v>
      </c>
      <c r="C62" t="s">
        <v>25</v>
      </c>
      <c r="D62" t="s">
        <v>26</v>
      </c>
      <c r="E62" t="s">
        <v>27</v>
      </c>
      <c r="F62" t="s">
        <v>28</v>
      </c>
      <c r="N62" t="s">
        <v>52</v>
      </c>
    </row>
    <row r="63" spans="1:16">
      <c r="A63">
        <v>1</v>
      </c>
      <c r="B63">
        <v>9</v>
      </c>
      <c r="C63">
        <v>10</v>
      </c>
      <c r="D63">
        <v>9</v>
      </c>
      <c r="E63">
        <v>11</v>
      </c>
      <c r="F63">
        <v>11</v>
      </c>
      <c r="L63" s="5">
        <f t="shared" ref="L63:L68" si="43">(B63/15)*100</f>
        <v>60</v>
      </c>
      <c r="M63" s="5">
        <f t="shared" ref="M63:M68" si="44">(C63/15)*100</f>
        <v>66.666666666666657</v>
      </c>
      <c r="N63" s="5">
        <f t="shared" ref="N63:N68" si="45">(D63/15)*100</f>
        <v>60</v>
      </c>
      <c r="O63" s="5">
        <f t="shared" ref="O63:O68" si="46">(E63/15)*100</f>
        <v>73.333333333333329</v>
      </c>
      <c r="P63" s="5">
        <f t="shared" ref="P63:P68" si="47">(F63/15)*100</f>
        <v>73.333333333333329</v>
      </c>
    </row>
    <row r="64" spans="1:16">
      <c r="A64">
        <v>2</v>
      </c>
      <c r="B64">
        <v>10</v>
      </c>
      <c r="C64">
        <v>10</v>
      </c>
      <c r="D64">
        <v>9</v>
      </c>
      <c r="E64">
        <v>9</v>
      </c>
      <c r="F64">
        <v>9</v>
      </c>
      <c r="L64" s="5">
        <f t="shared" si="43"/>
        <v>66.666666666666657</v>
      </c>
      <c r="M64" s="5">
        <f t="shared" si="44"/>
        <v>66.666666666666657</v>
      </c>
      <c r="N64" s="5">
        <f t="shared" si="45"/>
        <v>60</v>
      </c>
      <c r="O64" s="5">
        <f t="shared" si="46"/>
        <v>60</v>
      </c>
      <c r="P64" s="5">
        <f t="shared" si="47"/>
        <v>60</v>
      </c>
    </row>
    <row r="65" spans="1:16">
      <c r="A65">
        <v>3</v>
      </c>
      <c r="B65">
        <v>10</v>
      </c>
      <c r="C65">
        <v>11</v>
      </c>
      <c r="D65">
        <v>10</v>
      </c>
      <c r="E65">
        <v>9</v>
      </c>
      <c r="F65">
        <v>9</v>
      </c>
      <c r="L65" s="5">
        <f t="shared" si="43"/>
        <v>66.666666666666657</v>
      </c>
      <c r="M65" s="5">
        <f t="shared" si="44"/>
        <v>73.333333333333329</v>
      </c>
      <c r="N65" s="5">
        <f t="shared" si="45"/>
        <v>66.666666666666657</v>
      </c>
      <c r="O65" s="5">
        <f t="shared" si="46"/>
        <v>60</v>
      </c>
      <c r="P65" s="5">
        <f t="shared" si="47"/>
        <v>60</v>
      </c>
    </row>
    <row r="66" spans="1:16">
      <c r="A66">
        <v>4</v>
      </c>
      <c r="B66">
        <v>11</v>
      </c>
      <c r="C66">
        <v>9</v>
      </c>
      <c r="D66">
        <v>10</v>
      </c>
      <c r="E66">
        <v>9</v>
      </c>
      <c r="F66">
        <v>9</v>
      </c>
      <c r="L66" s="5">
        <f t="shared" si="43"/>
        <v>73.333333333333329</v>
      </c>
      <c r="M66" s="5">
        <f t="shared" si="44"/>
        <v>60</v>
      </c>
      <c r="N66" s="5">
        <f t="shared" si="45"/>
        <v>66.666666666666657</v>
      </c>
      <c r="O66" s="5">
        <f t="shared" si="46"/>
        <v>60</v>
      </c>
      <c r="P66" s="5">
        <f t="shared" si="47"/>
        <v>60</v>
      </c>
    </row>
    <row r="67" spans="1:16">
      <c r="A67">
        <v>5</v>
      </c>
      <c r="B67">
        <v>10</v>
      </c>
      <c r="C67">
        <v>9</v>
      </c>
      <c r="D67">
        <v>10</v>
      </c>
      <c r="E67">
        <v>9</v>
      </c>
      <c r="F67">
        <v>10</v>
      </c>
      <c r="L67" s="5">
        <f t="shared" si="43"/>
        <v>66.666666666666657</v>
      </c>
      <c r="M67" s="5">
        <f t="shared" si="44"/>
        <v>60</v>
      </c>
      <c r="N67" s="5">
        <f t="shared" si="45"/>
        <v>66.666666666666657</v>
      </c>
      <c r="O67" s="5">
        <f t="shared" si="46"/>
        <v>60</v>
      </c>
      <c r="P67" s="5">
        <f t="shared" si="47"/>
        <v>66.666666666666657</v>
      </c>
    </row>
    <row r="68" spans="1:16">
      <c r="A68">
        <v>6</v>
      </c>
      <c r="B68">
        <v>10</v>
      </c>
      <c r="C68">
        <v>11</v>
      </c>
      <c r="D68">
        <v>10</v>
      </c>
      <c r="E68">
        <v>11</v>
      </c>
      <c r="F68">
        <v>9</v>
      </c>
      <c r="L68" s="5">
        <f t="shared" si="43"/>
        <v>66.666666666666657</v>
      </c>
      <c r="M68" s="5">
        <f t="shared" si="44"/>
        <v>73.333333333333329</v>
      </c>
      <c r="N68" s="5">
        <f t="shared" si="45"/>
        <v>66.666666666666657</v>
      </c>
      <c r="O68" s="5">
        <f t="shared" si="46"/>
        <v>73.333333333333329</v>
      </c>
      <c r="P68" s="5">
        <f t="shared" si="47"/>
        <v>60</v>
      </c>
    </row>
    <row r="69" spans="1:16">
      <c r="A69" t="s">
        <v>29</v>
      </c>
      <c r="B69">
        <f>AVERAGE(B63:B68)</f>
        <v>10</v>
      </c>
      <c r="C69">
        <f>AVERAGE(C63:C68)</f>
        <v>10</v>
      </c>
      <c r="D69" s="2">
        <f>AVERAGE(D63:D68)</f>
        <v>9.6666666666666661</v>
      </c>
      <c r="E69" s="2">
        <f>AVERAGE(E63:E68)</f>
        <v>9.6666666666666661</v>
      </c>
      <c r="F69" s="2">
        <f>AVERAGE(F63:F68)</f>
        <v>9.5</v>
      </c>
      <c r="L69" s="6">
        <f t="shared" ref="L69" si="48">AVERAGE(L63:L68)</f>
        <v>66.666666666666643</v>
      </c>
      <c r="M69" s="6">
        <f t="shared" ref="M69" si="49">AVERAGE(M63:M68)</f>
        <v>66.666666666666657</v>
      </c>
      <c r="N69" s="5">
        <f t="shared" ref="N69" si="50">AVERAGE(N63:N68)</f>
        <v>64.444444444444443</v>
      </c>
      <c r="O69" s="5">
        <f t="shared" ref="O69" si="51">AVERAGE(O63:O68)</f>
        <v>64.444444444444443</v>
      </c>
      <c r="P69" s="5">
        <f t="shared" ref="P69" si="52">AVERAGE(P63:P68)</f>
        <v>63.333333333333336</v>
      </c>
    </row>
    <row r="70" spans="1:16">
      <c r="L70" s="5">
        <f t="shared" ref="L70:P70" si="53">STDEV(L63:L68)</f>
        <v>4.2163702135578376</v>
      </c>
      <c r="M70" s="5">
        <f t="shared" si="53"/>
        <v>5.9628479399994365</v>
      </c>
      <c r="N70" s="5">
        <f t="shared" si="53"/>
        <v>3.4426518632954766</v>
      </c>
      <c r="O70" s="5">
        <f t="shared" si="53"/>
        <v>6.8853037265909602</v>
      </c>
      <c r="P70" s="5">
        <f t="shared" si="53"/>
        <v>5.5777335102271675</v>
      </c>
    </row>
    <row r="71" spans="1:16">
      <c r="L71" s="5">
        <f t="shared" ref="L71" si="54">CONFIDENCE(0.05,L70,6)</f>
        <v>3.373736831684425</v>
      </c>
      <c r="M71" s="5">
        <f t="shared" ref="M71" si="55">CONFIDENCE(0.05,M70,6)</f>
        <v>4.7711843832457497</v>
      </c>
      <c r="N71" s="5">
        <f t="shared" ref="N71" si="56">CONFIDENCE(0.05,N70,6)</f>
        <v>2.7546445880202692</v>
      </c>
      <c r="O71" s="5">
        <f t="shared" ref="O71" si="57">CONFIDENCE(0.05,O70,6)</f>
        <v>5.5092891760405447</v>
      </c>
      <c r="P71" s="5">
        <f t="shared" ref="P71" si="58">CONFIDENCE(0.05,P70,6)</f>
        <v>4.4630343228079816</v>
      </c>
    </row>
    <row r="72" spans="1:16">
      <c r="B72" t="s">
        <v>37</v>
      </c>
    </row>
    <row r="73" spans="1:16">
      <c r="B73" t="s">
        <v>24</v>
      </c>
      <c r="C73" t="s">
        <v>25</v>
      </c>
      <c r="D73" t="s">
        <v>26</v>
      </c>
      <c r="E73" t="s">
        <v>27</v>
      </c>
      <c r="F73" t="s">
        <v>28</v>
      </c>
      <c r="N73" t="s">
        <v>53</v>
      </c>
    </row>
    <row r="74" spans="1:16">
      <c r="A74">
        <v>1</v>
      </c>
      <c r="B74">
        <v>9</v>
      </c>
      <c r="C74">
        <v>10</v>
      </c>
      <c r="D74">
        <v>10</v>
      </c>
      <c r="E74">
        <v>11</v>
      </c>
      <c r="F74">
        <v>11</v>
      </c>
      <c r="L74" s="5">
        <f t="shared" ref="L74:L79" si="59">(B74/15)*100</f>
        <v>60</v>
      </c>
      <c r="M74" s="5">
        <f t="shared" ref="M74:M79" si="60">(C74/15)*100</f>
        <v>66.666666666666657</v>
      </c>
      <c r="N74" s="5">
        <f t="shared" ref="N74:N79" si="61">(D74/15)*100</f>
        <v>66.666666666666657</v>
      </c>
      <c r="O74" s="5">
        <f t="shared" ref="O74:O79" si="62">(E74/15)*100</f>
        <v>73.333333333333329</v>
      </c>
      <c r="P74" s="5">
        <f t="shared" ref="P74:P79" si="63">(F74/15)*100</f>
        <v>73.333333333333329</v>
      </c>
    </row>
    <row r="75" spans="1:16">
      <c r="A75">
        <v>2</v>
      </c>
      <c r="B75">
        <v>10</v>
      </c>
      <c r="C75">
        <v>11</v>
      </c>
      <c r="D75">
        <v>9</v>
      </c>
      <c r="E75">
        <v>10</v>
      </c>
      <c r="F75">
        <v>9</v>
      </c>
      <c r="L75" s="5">
        <f t="shared" si="59"/>
        <v>66.666666666666657</v>
      </c>
      <c r="M75" s="5">
        <f t="shared" si="60"/>
        <v>73.333333333333329</v>
      </c>
      <c r="N75" s="5">
        <f t="shared" si="61"/>
        <v>60</v>
      </c>
      <c r="O75" s="5">
        <f t="shared" si="62"/>
        <v>66.666666666666657</v>
      </c>
      <c r="P75" s="5">
        <f t="shared" si="63"/>
        <v>60</v>
      </c>
    </row>
    <row r="76" spans="1:16">
      <c r="A76">
        <v>3</v>
      </c>
      <c r="B76">
        <v>11</v>
      </c>
      <c r="C76">
        <v>12</v>
      </c>
      <c r="D76">
        <v>10</v>
      </c>
      <c r="E76">
        <v>9</v>
      </c>
      <c r="F76">
        <v>9</v>
      </c>
      <c r="L76" s="5">
        <f t="shared" si="59"/>
        <v>73.333333333333329</v>
      </c>
      <c r="M76" s="5">
        <f t="shared" si="60"/>
        <v>80</v>
      </c>
      <c r="N76" s="5">
        <f t="shared" si="61"/>
        <v>66.666666666666657</v>
      </c>
      <c r="O76" s="5">
        <f t="shared" si="62"/>
        <v>60</v>
      </c>
      <c r="P76" s="5">
        <f t="shared" si="63"/>
        <v>60</v>
      </c>
    </row>
    <row r="77" spans="1:16">
      <c r="A77">
        <v>4</v>
      </c>
      <c r="B77">
        <v>11</v>
      </c>
      <c r="C77">
        <v>10</v>
      </c>
      <c r="D77">
        <v>10</v>
      </c>
      <c r="E77">
        <v>10</v>
      </c>
      <c r="F77">
        <v>9</v>
      </c>
      <c r="L77" s="5">
        <f t="shared" si="59"/>
        <v>73.333333333333329</v>
      </c>
      <c r="M77" s="5">
        <f t="shared" si="60"/>
        <v>66.666666666666657</v>
      </c>
      <c r="N77" s="5">
        <f t="shared" si="61"/>
        <v>66.666666666666657</v>
      </c>
      <c r="O77" s="5">
        <f t="shared" si="62"/>
        <v>66.666666666666657</v>
      </c>
      <c r="P77" s="5">
        <f t="shared" si="63"/>
        <v>60</v>
      </c>
    </row>
    <row r="78" spans="1:16">
      <c r="A78">
        <v>5</v>
      </c>
      <c r="B78">
        <v>10</v>
      </c>
      <c r="C78">
        <v>10</v>
      </c>
      <c r="D78">
        <v>10</v>
      </c>
      <c r="E78">
        <v>11</v>
      </c>
      <c r="F78">
        <v>10</v>
      </c>
      <c r="L78" s="5">
        <f t="shared" si="59"/>
        <v>66.666666666666657</v>
      </c>
      <c r="M78" s="5">
        <f t="shared" si="60"/>
        <v>66.666666666666657</v>
      </c>
      <c r="N78" s="5">
        <f t="shared" si="61"/>
        <v>66.666666666666657</v>
      </c>
      <c r="O78" s="5">
        <f t="shared" si="62"/>
        <v>73.333333333333329</v>
      </c>
      <c r="P78" s="5">
        <f t="shared" si="63"/>
        <v>66.666666666666657</v>
      </c>
    </row>
    <row r="79" spans="1:16">
      <c r="A79">
        <v>6</v>
      </c>
      <c r="B79">
        <v>10</v>
      </c>
      <c r="C79">
        <v>11</v>
      </c>
      <c r="D79">
        <v>11</v>
      </c>
      <c r="E79">
        <v>11</v>
      </c>
      <c r="F79">
        <v>9</v>
      </c>
      <c r="L79" s="5">
        <f t="shared" si="59"/>
        <v>66.666666666666657</v>
      </c>
      <c r="M79" s="5">
        <f t="shared" si="60"/>
        <v>73.333333333333329</v>
      </c>
      <c r="N79" s="5">
        <f t="shared" si="61"/>
        <v>73.333333333333329</v>
      </c>
      <c r="O79" s="5">
        <f t="shared" si="62"/>
        <v>73.333333333333329</v>
      </c>
      <c r="P79" s="5">
        <f t="shared" si="63"/>
        <v>60</v>
      </c>
    </row>
    <row r="80" spans="1:16">
      <c r="A80" t="s">
        <v>29</v>
      </c>
      <c r="B80" s="2">
        <f>AVERAGE(B74:B79)</f>
        <v>10.166666666666666</v>
      </c>
      <c r="C80" s="2">
        <f>AVERAGE(C74:C79)</f>
        <v>10.666666666666666</v>
      </c>
      <c r="D80" s="2">
        <f>AVERAGE(D74:D79)</f>
        <v>10</v>
      </c>
      <c r="E80" s="2">
        <f>AVERAGE(E74:E79)</f>
        <v>10.333333333333334</v>
      </c>
      <c r="F80" s="2">
        <f>AVERAGE(F74:F79)</f>
        <v>9.5</v>
      </c>
      <c r="L80" s="6">
        <f t="shared" ref="L80" si="64">AVERAGE(L74:L79)</f>
        <v>67.777777777777771</v>
      </c>
      <c r="M80" s="6">
        <f t="shared" ref="M80" si="65">AVERAGE(M74:M79)</f>
        <v>71.1111111111111</v>
      </c>
      <c r="N80" s="5">
        <f t="shared" ref="N80" si="66">AVERAGE(N74:N79)</f>
        <v>66.666666666666657</v>
      </c>
      <c r="O80" s="5">
        <f t="shared" ref="O80" si="67">AVERAGE(O74:O79)</f>
        <v>68.888888888888872</v>
      </c>
      <c r="P80" s="5">
        <f t="shared" ref="P80" si="68">AVERAGE(P74:P79)</f>
        <v>63.333333333333336</v>
      </c>
    </row>
    <row r="81" spans="1:16">
      <c r="L81" s="5">
        <f t="shared" ref="L81:P81" si="69">STDEV(L74:L79)</f>
        <v>5.0184843513938722</v>
      </c>
      <c r="M81" s="5">
        <f t="shared" si="69"/>
        <v>5.4433105395181771</v>
      </c>
      <c r="N81" s="5">
        <f t="shared" si="69"/>
        <v>4.2163702135578376</v>
      </c>
      <c r="O81" s="5">
        <f t="shared" si="69"/>
        <v>5.4433105395181736</v>
      </c>
      <c r="P81" s="5">
        <f t="shared" si="69"/>
        <v>5.5777335102271675</v>
      </c>
    </row>
    <row r="82" spans="1:16">
      <c r="L82" s="5">
        <f t="shared" ref="L82" si="70">CONFIDENCE(0.05,L81,6)</f>
        <v>4.0155500200355405</v>
      </c>
      <c r="M82" s="5">
        <f t="shared" ref="M82" si="71">CONFIDENCE(0.05,M81,6)</f>
        <v>4.3554755212001215</v>
      </c>
      <c r="N82" s="5">
        <f t="shared" ref="N82" si="72">CONFIDENCE(0.05,N81,6)</f>
        <v>3.373736831684425</v>
      </c>
      <c r="O82" s="5">
        <f t="shared" ref="O82" si="73">CONFIDENCE(0.05,O81,6)</f>
        <v>4.3554755212001197</v>
      </c>
      <c r="P82" s="5">
        <f t="shared" ref="P82" si="74">CONFIDENCE(0.05,P81,6)</f>
        <v>4.4630343228079816</v>
      </c>
    </row>
    <row r="83" spans="1:16">
      <c r="B83" t="s">
        <v>38</v>
      </c>
    </row>
    <row r="84" spans="1:16">
      <c r="B84" t="s">
        <v>39</v>
      </c>
      <c r="C84" t="s">
        <v>25</v>
      </c>
      <c r="D84" t="s">
        <v>26</v>
      </c>
      <c r="E84" t="s">
        <v>27</v>
      </c>
      <c r="F84" t="s">
        <v>28</v>
      </c>
      <c r="L84" s="5"/>
      <c r="M84" s="5"/>
      <c r="N84" t="s">
        <v>54</v>
      </c>
      <c r="O84" s="5"/>
      <c r="P84" s="5"/>
    </row>
    <row r="85" spans="1:16">
      <c r="A85">
        <v>1</v>
      </c>
      <c r="B85">
        <v>9</v>
      </c>
      <c r="C85">
        <v>10</v>
      </c>
      <c r="D85">
        <v>11</v>
      </c>
      <c r="E85">
        <v>11</v>
      </c>
      <c r="F85">
        <v>11</v>
      </c>
      <c r="L85" s="5">
        <f t="shared" ref="L85:L89" si="75">(B85/15)*100</f>
        <v>60</v>
      </c>
      <c r="M85" s="5">
        <f t="shared" ref="M85:M90" si="76">(C85/15)*100</f>
        <v>66.666666666666657</v>
      </c>
      <c r="N85" s="5">
        <f t="shared" ref="N85:N90" si="77">(D85/15)*100</f>
        <v>73.333333333333329</v>
      </c>
      <c r="O85" s="5">
        <f t="shared" ref="O85:O90" si="78">(E85/15)*100</f>
        <v>73.333333333333329</v>
      </c>
      <c r="P85" s="5">
        <f t="shared" ref="P85:P90" si="79">(F85/15)*100</f>
        <v>73.333333333333329</v>
      </c>
    </row>
    <row r="86" spans="1:16">
      <c r="A86">
        <v>2</v>
      </c>
      <c r="B86">
        <v>10</v>
      </c>
      <c r="C86">
        <v>11</v>
      </c>
      <c r="D86">
        <v>9</v>
      </c>
      <c r="E86">
        <v>10</v>
      </c>
      <c r="F86">
        <v>10</v>
      </c>
      <c r="L86" s="5">
        <f t="shared" si="75"/>
        <v>66.666666666666657</v>
      </c>
      <c r="M86" s="5">
        <f t="shared" si="76"/>
        <v>73.333333333333329</v>
      </c>
      <c r="N86" s="5">
        <f t="shared" si="77"/>
        <v>60</v>
      </c>
      <c r="O86" s="5">
        <f t="shared" si="78"/>
        <v>66.666666666666657</v>
      </c>
      <c r="P86" s="5">
        <f t="shared" si="79"/>
        <v>66.666666666666657</v>
      </c>
    </row>
    <row r="87" spans="1:16">
      <c r="A87">
        <v>3</v>
      </c>
      <c r="B87">
        <v>12</v>
      </c>
      <c r="C87">
        <v>12</v>
      </c>
      <c r="D87">
        <v>10</v>
      </c>
      <c r="E87">
        <v>9</v>
      </c>
      <c r="F87">
        <v>10</v>
      </c>
      <c r="L87" s="5">
        <f t="shared" si="75"/>
        <v>80</v>
      </c>
      <c r="M87" s="5">
        <f t="shared" si="76"/>
        <v>80</v>
      </c>
      <c r="N87" s="5">
        <f t="shared" si="77"/>
        <v>66.666666666666657</v>
      </c>
      <c r="O87" s="5">
        <f t="shared" si="78"/>
        <v>60</v>
      </c>
      <c r="P87" s="5">
        <f t="shared" si="79"/>
        <v>66.666666666666657</v>
      </c>
    </row>
    <row r="88" spans="1:16">
      <c r="A88">
        <v>4</v>
      </c>
      <c r="B88">
        <v>11</v>
      </c>
      <c r="C88">
        <v>10</v>
      </c>
      <c r="D88">
        <v>10</v>
      </c>
      <c r="E88">
        <v>10</v>
      </c>
      <c r="F88">
        <v>9</v>
      </c>
      <c r="L88" s="5">
        <f t="shared" si="75"/>
        <v>73.333333333333329</v>
      </c>
      <c r="M88" s="5">
        <f t="shared" si="76"/>
        <v>66.666666666666657</v>
      </c>
      <c r="N88" s="5">
        <f t="shared" si="77"/>
        <v>66.666666666666657</v>
      </c>
      <c r="O88" s="5">
        <f t="shared" si="78"/>
        <v>66.666666666666657</v>
      </c>
      <c r="P88" s="5">
        <f t="shared" si="79"/>
        <v>60</v>
      </c>
    </row>
    <row r="89" spans="1:16">
      <c r="A89">
        <v>5</v>
      </c>
      <c r="B89">
        <v>11</v>
      </c>
      <c r="C89">
        <v>10</v>
      </c>
      <c r="D89">
        <v>11</v>
      </c>
      <c r="E89">
        <v>11</v>
      </c>
      <c r="F89">
        <v>10</v>
      </c>
      <c r="L89" s="5">
        <f t="shared" si="75"/>
        <v>73.333333333333329</v>
      </c>
      <c r="M89" s="5">
        <f t="shared" si="76"/>
        <v>66.666666666666657</v>
      </c>
      <c r="N89" s="5">
        <f t="shared" si="77"/>
        <v>73.333333333333329</v>
      </c>
      <c r="O89" s="5">
        <f t="shared" si="78"/>
        <v>73.333333333333329</v>
      </c>
      <c r="P89" s="5">
        <f t="shared" si="79"/>
        <v>66.666666666666657</v>
      </c>
    </row>
    <row r="90" spans="1:16">
      <c r="A90">
        <v>6</v>
      </c>
      <c r="B90">
        <v>11</v>
      </c>
      <c r="C90">
        <v>11</v>
      </c>
      <c r="D90">
        <v>11</v>
      </c>
      <c r="E90">
        <v>11</v>
      </c>
      <c r="F90">
        <v>9</v>
      </c>
      <c r="L90" s="5">
        <f t="shared" ref="L90" si="80">(B90/15)*100</f>
        <v>73.333333333333329</v>
      </c>
      <c r="M90" s="5">
        <f t="shared" si="76"/>
        <v>73.333333333333329</v>
      </c>
      <c r="N90" s="5">
        <f t="shared" si="77"/>
        <v>73.333333333333329</v>
      </c>
      <c r="O90" s="5">
        <f t="shared" si="78"/>
        <v>73.333333333333329</v>
      </c>
      <c r="P90" s="5">
        <f t="shared" si="79"/>
        <v>60</v>
      </c>
    </row>
    <row r="91" spans="1:16">
      <c r="A91" t="s">
        <v>29</v>
      </c>
      <c r="B91" s="2">
        <f>AVERAGE(B85:B90)</f>
        <v>10.666666666666666</v>
      </c>
      <c r="C91" s="2">
        <f>AVERAGE(C85:C90)</f>
        <v>10.666666666666666</v>
      </c>
      <c r="D91" s="2">
        <f>AVERAGE(D85:D90)</f>
        <v>10.333333333333334</v>
      </c>
      <c r="E91" s="2">
        <f>AVERAGE(E85:E90)</f>
        <v>10.333333333333334</v>
      </c>
      <c r="F91" s="2">
        <f>AVERAGE(F85:F90)</f>
        <v>9.8333333333333339</v>
      </c>
      <c r="L91" s="6">
        <f t="shared" ref="L91" si="81">AVERAGE(L85:L90)</f>
        <v>71.1111111111111</v>
      </c>
      <c r="M91" s="6">
        <f t="shared" ref="M91" si="82">AVERAGE(M85:M90)</f>
        <v>71.1111111111111</v>
      </c>
      <c r="N91" s="5">
        <f t="shared" ref="N91" si="83">AVERAGE(N85:N90)</f>
        <v>68.888888888888872</v>
      </c>
      <c r="O91" s="5">
        <f t="shared" ref="O91" si="84">AVERAGE(O85:O90)</f>
        <v>68.888888888888872</v>
      </c>
      <c r="P91" s="5">
        <f t="shared" ref="P91" si="85">AVERAGE(P85:P90)</f>
        <v>65.555555555555543</v>
      </c>
    </row>
    <row r="92" spans="1:16">
      <c r="A92" t="s">
        <v>30</v>
      </c>
      <c r="B92" s="1">
        <f>STDEV(B85:B90)</f>
        <v>1.0327955589886446</v>
      </c>
      <c r="C92" s="1">
        <f>STDEV(C85:C90)</f>
        <v>0.81649658092772603</v>
      </c>
      <c r="D92" s="1">
        <f>STDEV(D85:D90)</f>
        <v>0.81649658092772603</v>
      </c>
      <c r="E92" s="1">
        <f>STDEV(E85:E90)</f>
        <v>0.81649658092772603</v>
      </c>
      <c r="F92" s="1">
        <f>STDEV(F85:F90)</f>
        <v>0.75277265270908111</v>
      </c>
      <c r="L92" s="5">
        <f t="shared" ref="L92:P92" si="86">STDEV(L85:L90)</f>
        <v>6.8853037265909638</v>
      </c>
      <c r="M92" s="5">
        <f t="shared" si="86"/>
        <v>5.4433105395181771</v>
      </c>
      <c r="N92" s="5">
        <f t="shared" si="86"/>
        <v>5.4433105395181736</v>
      </c>
      <c r="O92" s="5">
        <f t="shared" si="86"/>
        <v>5.4433105395181736</v>
      </c>
      <c r="P92" s="5">
        <f t="shared" si="86"/>
        <v>5.0184843513938704</v>
      </c>
    </row>
    <row r="93" spans="1:16">
      <c r="A93" t="s">
        <v>40</v>
      </c>
      <c r="B93" s="1">
        <f>CONFIDENCE(0.5,B92,6)</f>
        <v>0.28438984920768284</v>
      </c>
      <c r="C93" s="1">
        <f>CONFIDENCE(0.5,C92,6)</f>
        <v>0.22482991673202735</v>
      </c>
      <c r="D93" s="1">
        <f>CONFIDENCE(0.5,D92,6)</f>
        <v>0.22482991673202735</v>
      </c>
      <c r="E93" s="1">
        <f>CONFIDENCE(0.5,E92,6)</f>
        <v>0.22482991673202735</v>
      </c>
      <c r="F93" s="1">
        <f>CONFIDENCE(0.5,F92,6)</f>
        <v>0.20728294126403843</v>
      </c>
      <c r="L93" s="5">
        <f t="shared" ref="L93" si="87">CONFIDENCE(0.05,L92,6)</f>
        <v>5.5092891760405474</v>
      </c>
      <c r="M93" s="5">
        <f t="shared" ref="M93" si="88">CONFIDENCE(0.05,M92,6)</f>
        <v>4.3554755212001215</v>
      </c>
      <c r="N93" s="5">
        <f t="shared" ref="N93" si="89">CONFIDENCE(0.05,N92,6)</f>
        <v>4.3554755212001197</v>
      </c>
      <c r="O93" s="5">
        <f t="shared" ref="O93" si="90">CONFIDENCE(0.05,O92,6)</f>
        <v>4.3554755212001197</v>
      </c>
      <c r="P93" s="5">
        <f t="shared" ref="P93" si="91">CONFIDENCE(0.05,P92,6)</f>
        <v>4.0155500200355387</v>
      </c>
    </row>
    <row r="94" spans="1:16">
      <c r="B94" t="s">
        <v>41</v>
      </c>
    </row>
    <row r="95" spans="1:16">
      <c r="B95" t="s">
        <v>39</v>
      </c>
      <c r="C95" t="s">
        <v>25</v>
      </c>
      <c r="D95" t="s">
        <v>26</v>
      </c>
      <c r="E95" t="s">
        <v>27</v>
      </c>
      <c r="F95" t="s">
        <v>28</v>
      </c>
      <c r="N95" t="s">
        <v>55</v>
      </c>
    </row>
    <row r="96" spans="1:16">
      <c r="A96">
        <v>1</v>
      </c>
      <c r="B96">
        <v>9</v>
      </c>
      <c r="C96">
        <v>10</v>
      </c>
      <c r="D96">
        <v>11</v>
      </c>
      <c r="E96">
        <v>11</v>
      </c>
      <c r="F96">
        <v>11</v>
      </c>
      <c r="L96" s="5">
        <f t="shared" ref="L96:L101" si="92">(B96/15)*100</f>
        <v>60</v>
      </c>
      <c r="M96" s="5">
        <f t="shared" ref="M96:M101" si="93">(C96/15)*100</f>
        <v>66.666666666666657</v>
      </c>
      <c r="N96" s="5">
        <f t="shared" ref="N96:N101" si="94">(D96/15)*100</f>
        <v>73.333333333333329</v>
      </c>
      <c r="O96" s="5">
        <f t="shared" ref="O96:O101" si="95">(E96/15)*100</f>
        <v>73.333333333333329</v>
      </c>
      <c r="P96" s="5">
        <f t="shared" ref="P96:P101" si="96">(F96/15)*100</f>
        <v>73.333333333333329</v>
      </c>
    </row>
    <row r="97" spans="1:16">
      <c r="A97">
        <v>2</v>
      </c>
      <c r="B97">
        <v>10</v>
      </c>
      <c r="C97">
        <v>11</v>
      </c>
      <c r="D97">
        <v>9</v>
      </c>
      <c r="E97">
        <v>11</v>
      </c>
      <c r="F97">
        <v>12</v>
      </c>
      <c r="L97" s="5">
        <f t="shared" si="92"/>
        <v>66.666666666666657</v>
      </c>
      <c r="M97" s="5">
        <f t="shared" si="93"/>
        <v>73.333333333333329</v>
      </c>
      <c r="N97" s="5">
        <f t="shared" si="94"/>
        <v>60</v>
      </c>
      <c r="O97" s="5">
        <f t="shared" si="95"/>
        <v>73.333333333333329</v>
      </c>
      <c r="P97" s="5">
        <f t="shared" si="96"/>
        <v>80</v>
      </c>
    </row>
    <row r="98" spans="1:16">
      <c r="A98">
        <v>3</v>
      </c>
      <c r="B98">
        <v>12</v>
      </c>
      <c r="C98">
        <v>12</v>
      </c>
      <c r="D98">
        <v>10</v>
      </c>
      <c r="E98">
        <v>9</v>
      </c>
      <c r="F98">
        <v>10</v>
      </c>
      <c r="L98" s="5">
        <f t="shared" si="92"/>
        <v>80</v>
      </c>
      <c r="M98" s="5">
        <f t="shared" si="93"/>
        <v>80</v>
      </c>
      <c r="N98" s="5">
        <f t="shared" si="94"/>
        <v>66.666666666666657</v>
      </c>
      <c r="O98" s="5">
        <f t="shared" si="95"/>
        <v>60</v>
      </c>
      <c r="P98" s="5">
        <f t="shared" si="96"/>
        <v>66.666666666666657</v>
      </c>
    </row>
    <row r="99" spans="1:16">
      <c r="A99">
        <v>4</v>
      </c>
      <c r="B99">
        <v>11</v>
      </c>
      <c r="C99">
        <v>10</v>
      </c>
      <c r="D99">
        <v>10</v>
      </c>
      <c r="E99">
        <v>10</v>
      </c>
      <c r="F99">
        <v>9</v>
      </c>
      <c r="L99" s="5">
        <f t="shared" si="92"/>
        <v>73.333333333333329</v>
      </c>
      <c r="M99" s="5">
        <f t="shared" si="93"/>
        <v>66.666666666666657</v>
      </c>
      <c r="N99" s="5">
        <f t="shared" si="94"/>
        <v>66.666666666666657</v>
      </c>
      <c r="O99" s="5">
        <f t="shared" si="95"/>
        <v>66.666666666666657</v>
      </c>
      <c r="P99" s="5">
        <f t="shared" si="96"/>
        <v>60</v>
      </c>
    </row>
    <row r="100" spans="1:16">
      <c r="A100">
        <v>5</v>
      </c>
      <c r="B100">
        <v>11</v>
      </c>
      <c r="C100">
        <v>10</v>
      </c>
      <c r="D100">
        <v>11</v>
      </c>
      <c r="E100">
        <v>11</v>
      </c>
      <c r="F100">
        <v>10</v>
      </c>
      <c r="L100" s="5">
        <v>73.3</v>
      </c>
      <c r="M100" s="5">
        <f t="shared" si="93"/>
        <v>66.666666666666657</v>
      </c>
      <c r="N100" s="5">
        <f t="shared" si="94"/>
        <v>73.333333333333329</v>
      </c>
      <c r="O100" s="5">
        <f t="shared" si="95"/>
        <v>73.333333333333329</v>
      </c>
      <c r="P100" s="5">
        <f t="shared" si="96"/>
        <v>66.666666666666657</v>
      </c>
    </row>
    <row r="101" spans="1:16">
      <c r="A101">
        <v>6</v>
      </c>
      <c r="B101">
        <v>11</v>
      </c>
      <c r="C101">
        <v>11</v>
      </c>
      <c r="D101">
        <v>11</v>
      </c>
      <c r="E101">
        <v>11</v>
      </c>
      <c r="F101">
        <v>10</v>
      </c>
      <c r="L101" s="5">
        <f t="shared" si="92"/>
        <v>73.333333333333329</v>
      </c>
      <c r="M101" s="5">
        <f t="shared" si="93"/>
        <v>73.333333333333329</v>
      </c>
      <c r="N101" s="5">
        <f t="shared" si="94"/>
        <v>73.333333333333329</v>
      </c>
      <c r="O101" s="5">
        <f t="shared" si="95"/>
        <v>73.333333333333329</v>
      </c>
      <c r="P101" s="5">
        <f t="shared" si="96"/>
        <v>66.666666666666657</v>
      </c>
    </row>
    <row r="102" spans="1:16">
      <c r="A102" t="s">
        <v>33</v>
      </c>
      <c r="B102" s="2">
        <f>AVERAGE(B96:B101)</f>
        <v>10.666666666666666</v>
      </c>
      <c r="C102" s="2">
        <f>AVERAGE(C96:C101)</f>
        <v>10.666666666666666</v>
      </c>
      <c r="D102" s="2">
        <f>AVERAGE(D96:D101)</f>
        <v>10.333333333333334</v>
      </c>
      <c r="E102" s="2">
        <f>AVERAGE(E96:E101)</f>
        <v>10.5</v>
      </c>
      <c r="F102" s="2">
        <f>AVERAGE(F96:F101)</f>
        <v>10.333333333333334</v>
      </c>
      <c r="G102" s="2"/>
      <c r="L102" s="6">
        <f t="shared" ref="L102" si="97">AVERAGE(L96:L101)</f>
        <v>71.105555555555554</v>
      </c>
      <c r="M102" s="6">
        <f t="shared" ref="M102" si="98">AVERAGE(M96:M101)</f>
        <v>71.1111111111111</v>
      </c>
      <c r="N102" s="5">
        <f t="shared" ref="N102" si="99">AVERAGE(N96:N101)</f>
        <v>68.888888888888872</v>
      </c>
      <c r="O102" s="5">
        <f t="shared" ref="O102" si="100">AVERAGE(O96:O101)</f>
        <v>69.999999999999986</v>
      </c>
      <c r="P102" s="5">
        <f t="shared" ref="P102" si="101">AVERAGE(P96:P101)</f>
        <v>68.888888888888872</v>
      </c>
    </row>
    <row r="103" spans="1:16">
      <c r="L103" s="5">
        <f t="shared" ref="L103:P103" si="102">STDEV(L96:L101)</f>
        <v>6.8831651849249536</v>
      </c>
      <c r="M103" s="5">
        <f t="shared" si="102"/>
        <v>5.4433105395181771</v>
      </c>
      <c r="N103" s="5">
        <f t="shared" si="102"/>
        <v>5.4433105395181736</v>
      </c>
      <c r="O103" s="5">
        <f t="shared" si="102"/>
        <v>5.5777335102271692</v>
      </c>
      <c r="P103" s="5">
        <f t="shared" si="102"/>
        <v>6.8853037265909647</v>
      </c>
    </row>
    <row r="104" spans="1:16">
      <c r="L104" s="5">
        <f t="shared" ref="L104" si="103">CONFIDENCE(0.05,L103,6)</f>
        <v>5.50757801776476</v>
      </c>
      <c r="M104" s="5">
        <f t="shared" ref="M104" si="104">CONFIDENCE(0.05,M103,6)</f>
        <v>4.3554755212001215</v>
      </c>
      <c r="N104" s="5">
        <f t="shared" ref="N104" si="105">CONFIDENCE(0.05,N103,6)</f>
        <v>4.3554755212001197</v>
      </c>
      <c r="O104" s="5">
        <f t="shared" ref="O104" si="106">CONFIDENCE(0.05,O103,6)</f>
        <v>4.4630343228079834</v>
      </c>
      <c r="P104" s="5">
        <f t="shared" ref="P104" si="107">CONFIDENCE(0.05,P103,6)</f>
        <v>5.5092891760405482</v>
      </c>
    </row>
    <row r="107" spans="1:16">
      <c r="B107" t="s">
        <v>42</v>
      </c>
      <c r="M107" t="s">
        <v>56</v>
      </c>
    </row>
    <row r="108" spans="1:16">
      <c r="B108" t="s">
        <v>24</v>
      </c>
      <c r="C108" t="s">
        <v>25</v>
      </c>
      <c r="D108" t="s">
        <v>26</v>
      </c>
      <c r="E108" t="s">
        <v>27</v>
      </c>
      <c r="F108" t="s">
        <v>28</v>
      </c>
    </row>
    <row r="109" spans="1:16">
      <c r="A109">
        <v>1</v>
      </c>
      <c r="B109">
        <v>9</v>
      </c>
      <c r="C109">
        <v>10</v>
      </c>
      <c r="D109">
        <v>11</v>
      </c>
      <c r="E109">
        <v>11</v>
      </c>
      <c r="F109">
        <v>11</v>
      </c>
      <c r="L109" s="5">
        <f t="shared" ref="L109:L114" si="108">(B109/15)*100</f>
        <v>60</v>
      </c>
      <c r="M109" s="5">
        <f t="shared" ref="M109:M114" si="109">(C109/15)*100</f>
        <v>66.666666666666657</v>
      </c>
      <c r="N109" s="5">
        <f t="shared" ref="N109:N114" si="110">(D109/15)*100</f>
        <v>73.333333333333329</v>
      </c>
      <c r="O109" s="5">
        <f t="shared" ref="O109:O114" si="111">(E109/15)*100</f>
        <v>73.333333333333329</v>
      </c>
      <c r="P109" s="5">
        <f t="shared" ref="P109:P114" si="112">(F109/15)*100</f>
        <v>73.333333333333329</v>
      </c>
    </row>
    <row r="110" spans="1:16">
      <c r="A110">
        <v>2</v>
      </c>
      <c r="B110">
        <v>10</v>
      </c>
      <c r="C110">
        <v>11</v>
      </c>
      <c r="D110">
        <v>9</v>
      </c>
      <c r="E110">
        <v>11</v>
      </c>
      <c r="F110">
        <v>10</v>
      </c>
      <c r="L110" s="5">
        <f t="shared" si="108"/>
        <v>66.666666666666657</v>
      </c>
      <c r="M110" s="5">
        <f t="shared" si="109"/>
        <v>73.333333333333329</v>
      </c>
      <c r="N110" s="5">
        <f t="shared" si="110"/>
        <v>60</v>
      </c>
      <c r="O110" s="5">
        <f t="shared" si="111"/>
        <v>73.333333333333329</v>
      </c>
      <c r="P110" s="5">
        <f t="shared" si="112"/>
        <v>66.666666666666657</v>
      </c>
    </row>
    <row r="111" spans="1:16">
      <c r="A111">
        <v>3</v>
      </c>
      <c r="B111">
        <v>12</v>
      </c>
      <c r="C111">
        <v>12</v>
      </c>
      <c r="D111">
        <v>10</v>
      </c>
      <c r="E111">
        <v>9</v>
      </c>
      <c r="F111">
        <v>10</v>
      </c>
      <c r="L111" s="5">
        <f t="shared" si="108"/>
        <v>80</v>
      </c>
      <c r="M111" s="5">
        <f t="shared" si="109"/>
        <v>80</v>
      </c>
      <c r="N111" s="5">
        <f t="shared" si="110"/>
        <v>66.666666666666657</v>
      </c>
      <c r="O111" s="5">
        <f t="shared" si="111"/>
        <v>60</v>
      </c>
      <c r="P111" s="5">
        <f t="shared" si="112"/>
        <v>66.666666666666657</v>
      </c>
    </row>
    <row r="112" spans="1:16">
      <c r="A112">
        <v>4</v>
      </c>
      <c r="B112">
        <v>11</v>
      </c>
      <c r="C112">
        <v>10</v>
      </c>
      <c r="D112">
        <v>10</v>
      </c>
      <c r="E112">
        <v>10</v>
      </c>
      <c r="F112">
        <v>9</v>
      </c>
      <c r="L112" s="5">
        <f t="shared" si="108"/>
        <v>73.333333333333329</v>
      </c>
      <c r="M112" s="5">
        <f t="shared" si="109"/>
        <v>66.666666666666657</v>
      </c>
      <c r="N112" s="5">
        <f t="shared" si="110"/>
        <v>66.666666666666657</v>
      </c>
      <c r="O112" s="5">
        <f t="shared" si="111"/>
        <v>66.666666666666657</v>
      </c>
      <c r="P112" s="5">
        <f t="shared" si="112"/>
        <v>60</v>
      </c>
    </row>
    <row r="113" spans="1:16">
      <c r="A113">
        <v>5</v>
      </c>
      <c r="B113">
        <v>11</v>
      </c>
      <c r="C113">
        <v>10</v>
      </c>
      <c r="D113">
        <v>11</v>
      </c>
      <c r="E113">
        <v>11</v>
      </c>
      <c r="F113">
        <v>10</v>
      </c>
      <c r="L113" s="5">
        <f t="shared" si="108"/>
        <v>73.333333333333329</v>
      </c>
      <c r="M113" s="5">
        <f t="shared" si="109"/>
        <v>66.666666666666657</v>
      </c>
      <c r="N113" s="5">
        <f t="shared" si="110"/>
        <v>73.333333333333329</v>
      </c>
      <c r="O113" s="5">
        <f t="shared" si="111"/>
        <v>73.333333333333329</v>
      </c>
      <c r="P113" s="5">
        <f t="shared" si="112"/>
        <v>66.666666666666657</v>
      </c>
    </row>
    <row r="114" spans="1:16">
      <c r="A114">
        <v>6</v>
      </c>
      <c r="B114">
        <v>11</v>
      </c>
      <c r="C114">
        <v>11</v>
      </c>
      <c r="D114">
        <v>11</v>
      </c>
      <c r="E114">
        <v>11</v>
      </c>
      <c r="F114">
        <v>10</v>
      </c>
      <c r="L114" s="5">
        <f t="shared" si="108"/>
        <v>73.333333333333329</v>
      </c>
      <c r="M114" s="5">
        <f t="shared" si="109"/>
        <v>73.333333333333329</v>
      </c>
      <c r="N114" s="5">
        <f t="shared" si="110"/>
        <v>73.333333333333329</v>
      </c>
      <c r="O114" s="5">
        <f t="shared" si="111"/>
        <v>73.333333333333329</v>
      </c>
      <c r="P114" s="5">
        <f t="shared" si="112"/>
        <v>66.666666666666657</v>
      </c>
    </row>
    <row r="115" spans="1:16">
      <c r="A115" t="s">
        <v>29</v>
      </c>
      <c r="B115" s="2">
        <f>AVERAGE(B109:B114)</f>
        <v>10.666666666666666</v>
      </c>
      <c r="C115" s="2">
        <f>AVERAGE(C109:C114)</f>
        <v>10.666666666666666</v>
      </c>
      <c r="D115" s="2">
        <f>AVERAGE(D109:D114)</f>
        <v>10.333333333333334</v>
      </c>
      <c r="E115" s="2">
        <f>AVERAGE(E109:E114)</f>
        <v>10.5</v>
      </c>
      <c r="F115" s="2">
        <f>AVERAGE(F109:F114)</f>
        <v>10</v>
      </c>
      <c r="L115" s="6">
        <f t="shared" ref="L115" si="113">AVERAGE(L109:L114)</f>
        <v>71.1111111111111</v>
      </c>
      <c r="M115" s="6">
        <f t="shared" ref="M115" si="114">AVERAGE(M109:M114)</f>
        <v>71.1111111111111</v>
      </c>
      <c r="N115" s="5">
        <f t="shared" ref="N115" si="115">AVERAGE(N109:N114)</f>
        <v>68.888888888888872</v>
      </c>
      <c r="O115" s="5">
        <f t="shared" ref="O115" si="116">AVERAGE(O109:O114)</f>
        <v>69.999999999999986</v>
      </c>
      <c r="P115" s="5">
        <f t="shared" ref="P115" si="117">AVERAGE(P109:P114)</f>
        <v>66.666666666666643</v>
      </c>
    </row>
    <row r="116" spans="1:16">
      <c r="L116" s="5">
        <f t="shared" ref="L116:P116" si="118">STDEV(L109:L114)</f>
        <v>6.8853037265909638</v>
      </c>
      <c r="M116" s="5">
        <f t="shared" si="118"/>
        <v>5.4433105395181771</v>
      </c>
      <c r="N116" s="5">
        <f t="shared" si="118"/>
        <v>5.4433105395181736</v>
      </c>
      <c r="O116" s="5">
        <f t="shared" si="118"/>
        <v>5.5777335102271692</v>
      </c>
      <c r="P116" s="5">
        <f t="shared" si="118"/>
        <v>4.2163702135578376</v>
      </c>
    </row>
    <row r="117" spans="1:16">
      <c r="B117" t="s">
        <v>43</v>
      </c>
      <c r="L117" s="5">
        <f t="shared" ref="L117" si="119">CONFIDENCE(0.05,L116,6)</f>
        <v>5.5092891760405474</v>
      </c>
      <c r="M117" s="5">
        <f t="shared" ref="M117" si="120">CONFIDENCE(0.05,M116,6)</f>
        <v>4.3554755212001215</v>
      </c>
      <c r="N117" s="5">
        <f t="shared" ref="N117" si="121">CONFIDENCE(0.05,N116,6)</f>
        <v>4.3554755212001197</v>
      </c>
      <c r="O117" s="5">
        <f t="shared" ref="O117" si="122">CONFIDENCE(0.05,O116,6)</f>
        <v>4.4630343228079834</v>
      </c>
      <c r="P117" s="5">
        <f t="shared" ref="P117" si="123">CONFIDENCE(0.05,P116,6)</f>
        <v>3.373736831684425</v>
      </c>
    </row>
    <row r="118" spans="1:16">
      <c r="B118" t="s">
        <v>24</v>
      </c>
      <c r="C118" t="s">
        <v>25</v>
      </c>
      <c r="D118" t="s">
        <v>26</v>
      </c>
      <c r="E118" t="s">
        <v>27</v>
      </c>
      <c r="F118" t="s">
        <v>28</v>
      </c>
      <c r="N118" t="s">
        <v>57</v>
      </c>
    </row>
    <row r="119" spans="1:16">
      <c r="A119">
        <v>1</v>
      </c>
      <c r="B119">
        <v>9</v>
      </c>
      <c r="C119">
        <v>10</v>
      </c>
      <c r="D119">
        <v>11</v>
      </c>
      <c r="E119">
        <v>11</v>
      </c>
      <c r="F119">
        <v>11</v>
      </c>
      <c r="L119" s="5">
        <f t="shared" ref="L119:L124" si="124">(B119/15)*100</f>
        <v>60</v>
      </c>
      <c r="M119" s="5">
        <f t="shared" ref="M119:M124" si="125">(C119/15)*100</f>
        <v>66.666666666666657</v>
      </c>
      <c r="N119" s="5">
        <f t="shared" ref="N119:N124" si="126">(D119/15)*100</f>
        <v>73.333333333333329</v>
      </c>
      <c r="O119" s="5">
        <f t="shared" ref="O119:O124" si="127">(E119/15)*100</f>
        <v>73.333333333333329</v>
      </c>
      <c r="P119" s="5">
        <f t="shared" ref="P119:P124" si="128">(F119/15)*100</f>
        <v>73.333333333333329</v>
      </c>
    </row>
    <row r="120" spans="1:16">
      <c r="A120">
        <v>2</v>
      </c>
      <c r="B120">
        <v>10</v>
      </c>
      <c r="C120">
        <v>11</v>
      </c>
      <c r="D120">
        <v>9</v>
      </c>
      <c r="E120">
        <v>9</v>
      </c>
      <c r="F120">
        <v>10</v>
      </c>
      <c r="L120" s="5">
        <f t="shared" si="124"/>
        <v>66.666666666666657</v>
      </c>
      <c r="M120" s="5">
        <f t="shared" si="125"/>
        <v>73.333333333333329</v>
      </c>
      <c r="N120" s="5">
        <f t="shared" si="126"/>
        <v>60</v>
      </c>
      <c r="O120" s="5">
        <f t="shared" si="127"/>
        <v>60</v>
      </c>
      <c r="P120" s="5">
        <f t="shared" si="128"/>
        <v>66.666666666666657</v>
      </c>
    </row>
    <row r="121" spans="1:16">
      <c r="A121">
        <v>3</v>
      </c>
      <c r="B121">
        <v>12</v>
      </c>
      <c r="C121">
        <v>12</v>
      </c>
      <c r="D121">
        <v>10</v>
      </c>
      <c r="E121">
        <v>10</v>
      </c>
      <c r="F121">
        <v>10</v>
      </c>
      <c r="L121" s="5">
        <f t="shared" si="124"/>
        <v>80</v>
      </c>
      <c r="M121" s="5">
        <f t="shared" si="125"/>
        <v>80</v>
      </c>
      <c r="N121" s="5">
        <f t="shared" si="126"/>
        <v>66.666666666666657</v>
      </c>
      <c r="O121" s="5">
        <f t="shared" si="127"/>
        <v>66.666666666666657</v>
      </c>
      <c r="P121" s="5">
        <f t="shared" si="128"/>
        <v>66.666666666666657</v>
      </c>
    </row>
    <row r="122" spans="1:16">
      <c r="A122">
        <v>4</v>
      </c>
      <c r="B122">
        <v>11</v>
      </c>
      <c r="C122">
        <v>10</v>
      </c>
      <c r="D122">
        <v>10</v>
      </c>
      <c r="E122">
        <v>11</v>
      </c>
      <c r="F122">
        <v>9</v>
      </c>
      <c r="L122" s="5">
        <f t="shared" si="124"/>
        <v>73.333333333333329</v>
      </c>
      <c r="M122" s="5">
        <f t="shared" si="125"/>
        <v>66.666666666666657</v>
      </c>
      <c r="N122" s="5">
        <f t="shared" si="126"/>
        <v>66.666666666666657</v>
      </c>
      <c r="O122" s="5">
        <f t="shared" si="127"/>
        <v>73.333333333333329</v>
      </c>
      <c r="P122" s="5">
        <f t="shared" si="128"/>
        <v>60</v>
      </c>
    </row>
    <row r="123" spans="1:16">
      <c r="A123">
        <v>5</v>
      </c>
      <c r="B123">
        <v>11</v>
      </c>
      <c r="C123">
        <v>10</v>
      </c>
      <c r="D123">
        <v>11</v>
      </c>
      <c r="E123">
        <v>11</v>
      </c>
      <c r="F123">
        <v>10</v>
      </c>
      <c r="L123" s="5">
        <f t="shared" si="124"/>
        <v>73.333333333333329</v>
      </c>
      <c r="M123" s="5">
        <f t="shared" si="125"/>
        <v>66.666666666666657</v>
      </c>
      <c r="N123" s="5">
        <f t="shared" si="126"/>
        <v>73.333333333333329</v>
      </c>
      <c r="O123" s="5">
        <f t="shared" si="127"/>
        <v>73.333333333333329</v>
      </c>
      <c r="P123" s="5">
        <f t="shared" si="128"/>
        <v>66.666666666666657</v>
      </c>
    </row>
    <row r="124" spans="1:16">
      <c r="A124">
        <v>6</v>
      </c>
      <c r="B124">
        <v>11</v>
      </c>
      <c r="C124">
        <v>11</v>
      </c>
      <c r="D124">
        <v>11</v>
      </c>
      <c r="E124">
        <v>11</v>
      </c>
      <c r="F124">
        <v>10</v>
      </c>
      <c r="L124" s="5">
        <f t="shared" si="124"/>
        <v>73.333333333333329</v>
      </c>
      <c r="M124" s="5">
        <f t="shared" si="125"/>
        <v>73.333333333333329</v>
      </c>
      <c r="N124" s="5">
        <f t="shared" si="126"/>
        <v>73.333333333333329</v>
      </c>
      <c r="O124" s="5">
        <f t="shared" si="127"/>
        <v>73.333333333333329</v>
      </c>
      <c r="P124" s="5">
        <f t="shared" si="128"/>
        <v>66.666666666666657</v>
      </c>
    </row>
    <row r="125" spans="1:16">
      <c r="A125" t="s">
        <v>29</v>
      </c>
      <c r="B125" s="2">
        <f>AVERAGE(B119:B124)</f>
        <v>10.666666666666666</v>
      </c>
      <c r="C125" s="2">
        <f>AVERAGE(C119:C124)</f>
        <v>10.666666666666666</v>
      </c>
      <c r="D125" s="2">
        <f>AVERAGE(D119:D124)</f>
        <v>10.333333333333334</v>
      </c>
      <c r="E125" s="2">
        <f>AVERAGE(E119:E124)</f>
        <v>10.5</v>
      </c>
      <c r="F125">
        <f>AVERAGE(F119:F124)</f>
        <v>10</v>
      </c>
      <c r="L125" s="6">
        <f t="shared" ref="L125" si="129">AVERAGE(L119:L124)</f>
        <v>71.1111111111111</v>
      </c>
      <c r="M125" s="6">
        <f t="shared" ref="M125" si="130">AVERAGE(M119:M124)</f>
        <v>71.1111111111111</v>
      </c>
      <c r="N125" s="5">
        <f t="shared" ref="N125" si="131">AVERAGE(N119:N124)</f>
        <v>68.888888888888872</v>
      </c>
      <c r="O125" s="5">
        <f t="shared" ref="O125" si="132">AVERAGE(O119:O124)</f>
        <v>69.999999999999986</v>
      </c>
      <c r="P125" s="5">
        <f t="shared" ref="P125" si="133">AVERAGE(P119:P124)</f>
        <v>66.666666666666643</v>
      </c>
    </row>
    <row r="126" spans="1:16">
      <c r="L126" s="5">
        <f t="shared" ref="L126:P126" si="134">STDEV(L119:L124)</f>
        <v>6.8853037265909638</v>
      </c>
      <c r="M126" s="5">
        <f t="shared" si="134"/>
        <v>5.4433105395181771</v>
      </c>
      <c r="N126" s="5">
        <f t="shared" si="134"/>
        <v>5.4433105395181736</v>
      </c>
      <c r="O126" s="5">
        <f t="shared" si="134"/>
        <v>5.5777335102271692</v>
      </c>
      <c r="P126" s="5">
        <f t="shared" si="134"/>
        <v>4.2163702135578376</v>
      </c>
    </row>
    <row r="127" spans="1:16">
      <c r="B127" t="s">
        <v>44</v>
      </c>
      <c r="L127" s="5">
        <f t="shared" ref="L127" si="135">CONFIDENCE(0.05,L126,6)</f>
        <v>5.5092891760405474</v>
      </c>
      <c r="M127" s="5">
        <f t="shared" ref="M127" si="136">CONFIDENCE(0.05,M126,6)</f>
        <v>4.3554755212001215</v>
      </c>
      <c r="N127" s="5">
        <f t="shared" ref="N127" si="137">CONFIDENCE(0.05,N126,6)</f>
        <v>4.3554755212001197</v>
      </c>
      <c r="O127" s="5">
        <f t="shared" ref="O127" si="138">CONFIDENCE(0.05,O126,6)</f>
        <v>4.4630343228079834</v>
      </c>
      <c r="P127" s="5">
        <f t="shared" ref="P127" si="139">CONFIDENCE(0.05,P126,6)</f>
        <v>3.373736831684425</v>
      </c>
    </row>
    <row r="128" spans="1:16">
      <c r="B128" t="s">
        <v>24</v>
      </c>
      <c r="C128" t="s">
        <v>25</v>
      </c>
      <c r="D128" t="s">
        <v>26</v>
      </c>
      <c r="E128" t="s">
        <v>27</v>
      </c>
      <c r="F128" t="s">
        <v>28</v>
      </c>
      <c r="N128" t="s">
        <v>58</v>
      </c>
    </row>
    <row r="129" spans="1:16">
      <c r="A129">
        <v>1</v>
      </c>
      <c r="B129">
        <v>9</v>
      </c>
      <c r="C129">
        <v>10</v>
      </c>
      <c r="D129">
        <v>11</v>
      </c>
      <c r="E129">
        <v>11</v>
      </c>
      <c r="F129">
        <v>11</v>
      </c>
      <c r="L129" s="5">
        <f t="shared" ref="L129:P134" si="140">(B129/15)*100</f>
        <v>60</v>
      </c>
      <c r="M129" s="5">
        <f t="shared" si="140"/>
        <v>66.666666666666657</v>
      </c>
      <c r="N129" s="5">
        <f t="shared" si="140"/>
        <v>73.333333333333329</v>
      </c>
      <c r="O129" s="5">
        <f t="shared" si="140"/>
        <v>73.333333333333329</v>
      </c>
      <c r="P129" s="5">
        <f t="shared" si="140"/>
        <v>73.333333333333329</v>
      </c>
    </row>
    <row r="130" spans="1:16">
      <c r="A130">
        <v>2</v>
      </c>
      <c r="B130">
        <v>10</v>
      </c>
      <c r="C130">
        <v>11</v>
      </c>
      <c r="D130">
        <v>9</v>
      </c>
      <c r="E130">
        <v>11</v>
      </c>
      <c r="F130">
        <v>10</v>
      </c>
      <c r="L130" s="5">
        <f t="shared" si="140"/>
        <v>66.666666666666657</v>
      </c>
      <c r="M130" s="5">
        <f t="shared" si="140"/>
        <v>73.333333333333329</v>
      </c>
      <c r="N130" s="5">
        <f t="shared" si="140"/>
        <v>60</v>
      </c>
      <c r="O130" s="5">
        <f t="shared" si="140"/>
        <v>73.333333333333329</v>
      </c>
      <c r="P130" s="5">
        <f t="shared" si="140"/>
        <v>66.666666666666657</v>
      </c>
    </row>
    <row r="131" spans="1:16">
      <c r="A131">
        <v>3</v>
      </c>
      <c r="B131">
        <v>12</v>
      </c>
      <c r="C131">
        <v>12</v>
      </c>
      <c r="D131">
        <v>10</v>
      </c>
      <c r="E131">
        <v>9</v>
      </c>
      <c r="F131">
        <v>10</v>
      </c>
      <c r="L131" s="5">
        <f t="shared" si="140"/>
        <v>80</v>
      </c>
      <c r="M131" s="5">
        <f t="shared" si="140"/>
        <v>80</v>
      </c>
      <c r="N131" s="5">
        <f t="shared" si="140"/>
        <v>66.666666666666657</v>
      </c>
      <c r="O131" s="5">
        <f t="shared" si="140"/>
        <v>60</v>
      </c>
      <c r="P131" s="5">
        <f t="shared" si="140"/>
        <v>66.666666666666657</v>
      </c>
    </row>
    <row r="132" spans="1:16">
      <c r="A132">
        <v>4</v>
      </c>
      <c r="B132">
        <v>11</v>
      </c>
      <c r="C132">
        <v>10</v>
      </c>
      <c r="D132">
        <v>10</v>
      </c>
      <c r="E132">
        <v>10</v>
      </c>
      <c r="F132">
        <v>9</v>
      </c>
      <c r="L132" s="5">
        <f t="shared" si="140"/>
        <v>73.333333333333329</v>
      </c>
      <c r="M132" s="5">
        <f t="shared" si="140"/>
        <v>66.666666666666657</v>
      </c>
      <c r="N132" s="5">
        <f t="shared" si="140"/>
        <v>66.666666666666657</v>
      </c>
      <c r="O132" s="5">
        <f t="shared" si="140"/>
        <v>66.666666666666657</v>
      </c>
      <c r="P132" s="5">
        <f t="shared" si="140"/>
        <v>60</v>
      </c>
    </row>
    <row r="133" spans="1:16">
      <c r="A133">
        <v>5</v>
      </c>
      <c r="B133">
        <v>11</v>
      </c>
      <c r="C133">
        <v>10</v>
      </c>
      <c r="D133">
        <v>11</v>
      </c>
      <c r="E133">
        <v>11</v>
      </c>
      <c r="F133">
        <v>10</v>
      </c>
      <c r="L133" s="5">
        <f t="shared" si="140"/>
        <v>73.333333333333329</v>
      </c>
      <c r="M133" s="5">
        <f t="shared" si="140"/>
        <v>66.666666666666657</v>
      </c>
      <c r="N133" s="5">
        <f t="shared" si="140"/>
        <v>73.333333333333329</v>
      </c>
      <c r="O133" s="5">
        <f t="shared" si="140"/>
        <v>73.333333333333329</v>
      </c>
      <c r="P133" s="5">
        <f t="shared" si="140"/>
        <v>66.666666666666657</v>
      </c>
    </row>
    <row r="134" spans="1:16">
      <c r="A134">
        <v>6</v>
      </c>
      <c r="B134">
        <v>11</v>
      </c>
      <c r="C134">
        <v>11</v>
      </c>
      <c r="D134">
        <v>11</v>
      </c>
      <c r="E134">
        <v>11</v>
      </c>
      <c r="F134">
        <v>10</v>
      </c>
      <c r="L134" s="5">
        <f t="shared" si="140"/>
        <v>73.333333333333329</v>
      </c>
      <c r="M134" s="5">
        <f t="shared" si="140"/>
        <v>73.333333333333329</v>
      </c>
      <c r="N134" s="5">
        <f t="shared" si="140"/>
        <v>73.333333333333329</v>
      </c>
      <c r="O134" s="5">
        <f t="shared" si="140"/>
        <v>73.333333333333329</v>
      </c>
      <c r="P134" s="5">
        <f t="shared" si="140"/>
        <v>66.666666666666657</v>
      </c>
    </row>
    <row r="135" spans="1:16">
      <c r="A135" t="s">
        <v>33</v>
      </c>
      <c r="B135" s="2">
        <f>AVERAGE(B129:B134)</f>
        <v>10.666666666666666</v>
      </c>
      <c r="C135" s="2">
        <f>AVERAGE(C129:C134)</f>
        <v>10.666666666666666</v>
      </c>
      <c r="D135" s="2">
        <f>AVERAGE(D129:D134)</f>
        <v>10.333333333333334</v>
      </c>
      <c r="E135" s="2">
        <f>AVERAGE(E129:E134)</f>
        <v>10.5</v>
      </c>
      <c r="F135" s="2">
        <f>AVERAGE(F129:F134)</f>
        <v>10</v>
      </c>
      <c r="L135" s="6">
        <f t="shared" ref="L135" si="141">AVERAGE(L129:L134)</f>
        <v>71.1111111111111</v>
      </c>
      <c r="M135" s="6">
        <f t="shared" ref="M135" si="142">AVERAGE(M129:M134)</f>
        <v>71.1111111111111</v>
      </c>
      <c r="N135" s="5">
        <f t="shared" ref="N135" si="143">AVERAGE(N129:N134)</f>
        <v>68.888888888888872</v>
      </c>
      <c r="O135" s="5">
        <f t="shared" ref="O135" si="144">AVERAGE(O129:O134)</f>
        <v>69.999999999999986</v>
      </c>
      <c r="P135" s="5">
        <f t="shared" ref="P135" si="145">AVERAGE(P129:P134)</f>
        <v>66.666666666666643</v>
      </c>
    </row>
    <row r="136" spans="1:16">
      <c r="A136" t="s">
        <v>30</v>
      </c>
      <c r="B136" s="1">
        <f>STDEV(B129:B134)</f>
        <v>1.0327955589886446</v>
      </c>
      <c r="C136" s="1">
        <f>STDEV(C129:C134)</f>
        <v>0.81649658092772603</v>
      </c>
      <c r="D136" s="1">
        <f>STDEV(D129:D134)</f>
        <v>0.81649658092772603</v>
      </c>
      <c r="E136" s="1">
        <f>STDEV(E129:E134)</f>
        <v>0.83666002653407556</v>
      </c>
      <c r="F136" s="1">
        <f>STDEV(F129:F134)</f>
        <v>0.63245553203367588</v>
      </c>
      <c r="L136" s="5">
        <f t="shared" ref="L136:P136" si="146">STDEV(L129:L134)</f>
        <v>6.8853037265909638</v>
      </c>
      <c r="M136" s="5">
        <f t="shared" si="146"/>
        <v>5.4433105395181771</v>
      </c>
      <c r="N136" s="5">
        <f t="shared" si="146"/>
        <v>5.4433105395181736</v>
      </c>
      <c r="O136" s="5">
        <f t="shared" si="146"/>
        <v>5.5777335102271692</v>
      </c>
      <c r="P136" s="5">
        <f t="shared" si="146"/>
        <v>4.2163702135578376</v>
      </c>
    </row>
    <row r="137" spans="1:16">
      <c r="A137" t="s">
        <v>45</v>
      </c>
      <c r="B137" s="1">
        <f t="shared" ref="B137:G137" si="147">CONFIDENCE(0.5,B136,6)</f>
        <v>0.28438984920768284</v>
      </c>
      <c r="C137" s="1">
        <f t="shared" si="147"/>
        <v>0.22482991673202735</v>
      </c>
      <c r="D137" s="1">
        <f t="shared" si="147"/>
        <v>0.22482991673202735</v>
      </c>
      <c r="E137" s="1">
        <f t="shared" si="147"/>
        <v>0.23038210874678802</v>
      </c>
      <c r="F137" s="1">
        <f t="shared" si="147"/>
        <v>0.17415250464646842</v>
      </c>
      <c r="G137" s="1" t="e">
        <f t="shared" si="147"/>
        <v>#NUM!</v>
      </c>
      <c r="L137" s="5">
        <f t="shared" ref="L137" si="148">CONFIDENCE(0.05,L136,6)</f>
        <v>5.5092891760405474</v>
      </c>
      <c r="M137" s="5">
        <f t="shared" ref="M137" si="149">CONFIDENCE(0.05,M136,6)</f>
        <v>4.3554755212001215</v>
      </c>
      <c r="N137" s="5">
        <f t="shared" ref="N137" si="150">CONFIDENCE(0.05,N136,6)</f>
        <v>4.3554755212001197</v>
      </c>
      <c r="O137" s="5">
        <f t="shared" ref="O137" si="151">CONFIDENCE(0.05,O136,6)</f>
        <v>4.4630343228079834</v>
      </c>
      <c r="P137" s="5">
        <f t="shared" ref="P137" si="152">CONFIDENCE(0.05,P136,6)</f>
        <v>3.373736831684425</v>
      </c>
    </row>
    <row r="143" spans="1:16">
      <c r="B143" t="s">
        <v>46</v>
      </c>
      <c r="C143" t="s">
        <v>10</v>
      </c>
      <c r="D143" t="s">
        <v>11</v>
      </c>
      <c r="E143" t="s">
        <v>12</v>
      </c>
      <c r="F143" t="s">
        <v>13</v>
      </c>
    </row>
    <row r="144" spans="1:16">
      <c r="B144">
        <f>1423.7/5</f>
        <v>284.74</v>
      </c>
      <c r="C144">
        <f>1586.3/5</f>
        <v>317.26</v>
      </c>
      <c r="D144">
        <f>1617.1/5</f>
        <v>323.41999999999996</v>
      </c>
      <c r="E144">
        <f>1682.8/5</f>
        <v>336.56</v>
      </c>
      <c r="F144">
        <f>1530.4/5</f>
        <v>306.08000000000004</v>
      </c>
    </row>
    <row r="145" spans="1:6">
      <c r="B145">
        <f>1429.7/5</f>
        <v>285.94</v>
      </c>
      <c r="C145">
        <f>1586.4/5</f>
        <v>317.28000000000003</v>
      </c>
      <c r="D145">
        <f>1506.4/5</f>
        <v>301.28000000000003</v>
      </c>
      <c r="E145">
        <f>1546.3/5</f>
        <v>309.26</v>
      </c>
      <c r="F145">
        <f>1517.3/5</f>
        <v>303.45999999999998</v>
      </c>
    </row>
    <row r="146" spans="1:6">
      <c r="B146">
        <f>1398.1/5</f>
        <v>279.62</v>
      </c>
      <c r="C146">
        <f>1510.4/5</f>
        <v>302.08000000000004</v>
      </c>
      <c r="D146">
        <f>1507.3/5</f>
        <v>301.45999999999998</v>
      </c>
      <c r="E146">
        <f>1343/5</f>
        <v>268.60000000000002</v>
      </c>
      <c r="F146">
        <f>1483.5/5</f>
        <v>296.7</v>
      </c>
    </row>
    <row r="147" spans="1:6">
      <c r="B147">
        <f>1263.8/5</f>
        <v>252.76</v>
      </c>
      <c r="C147">
        <f>1644.1/5</f>
        <v>328.82</v>
      </c>
      <c r="D147">
        <f>1491.5/5</f>
        <v>298.3</v>
      </c>
      <c r="E147">
        <f>1311.5/5</f>
        <v>262.3</v>
      </c>
      <c r="F147">
        <f>1226.7/5</f>
        <v>245.34</v>
      </c>
    </row>
    <row r="148" spans="1:6">
      <c r="B148">
        <f>1379.9/5</f>
        <v>275.98</v>
      </c>
      <c r="C148">
        <f>1552.4/5</f>
        <v>310.48</v>
      </c>
      <c r="D148">
        <f>1445.9/5</f>
        <v>289.18</v>
      </c>
      <c r="E148">
        <f>1149/5</f>
        <v>229.8</v>
      </c>
      <c r="F148">
        <f>1353.4/5</f>
        <v>270.68</v>
      </c>
    </row>
    <row r="149" spans="1:6">
      <c r="B149">
        <f>1518.8/5</f>
        <v>303.76</v>
      </c>
      <c r="C149" s="4">
        <f>1552.9</f>
        <v>1552.9</v>
      </c>
      <c r="D149">
        <f>1370.4/5</f>
        <v>274.08000000000004</v>
      </c>
      <c r="E149">
        <f>1389.5/5</f>
        <v>277.89999999999998</v>
      </c>
      <c r="F149">
        <f>1400.7/5</f>
        <v>280.14</v>
      </c>
    </row>
    <row r="150" spans="1:6">
      <c r="A150" t="s">
        <v>47</v>
      </c>
      <c r="B150" s="1">
        <f>AVERAGE(B144:B149)</f>
        <v>280.46666666666664</v>
      </c>
      <c r="C150" s="1">
        <f>AVERAGE(C144:C149)</f>
        <v>521.47</v>
      </c>
      <c r="D150" s="1">
        <f>AVERAGE(D144:D149)</f>
        <v>297.95333333333338</v>
      </c>
      <c r="E150" s="1">
        <f>AVERAGE(E144:E149)</f>
        <v>280.73666666666668</v>
      </c>
      <c r="F150" s="1">
        <f>AVERAGE(F144:F149)</f>
        <v>283.73333333333335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AC139"/>
  <sheetViews>
    <sheetView topLeftCell="T1" workbookViewId="0">
      <selection activeCell="AD22" sqref="AD22"/>
    </sheetView>
  </sheetViews>
  <sheetFormatPr baseColWidth="10" defaultColWidth="9.140625" defaultRowHeight="15"/>
  <sheetData>
    <row r="2" spans="2:29">
      <c r="C2" t="s">
        <v>8</v>
      </c>
    </row>
    <row r="3" spans="2:29"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2:29">
      <c r="C4">
        <v>0</v>
      </c>
      <c r="D4">
        <v>0</v>
      </c>
      <c r="E4">
        <v>0</v>
      </c>
      <c r="F4">
        <v>0</v>
      </c>
      <c r="G4">
        <v>0</v>
      </c>
    </row>
    <row r="5" spans="2:29">
      <c r="C5">
        <v>0</v>
      </c>
      <c r="D5">
        <v>0</v>
      </c>
      <c r="E5">
        <v>0</v>
      </c>
      <c r="F5">
        <v>0</v>
      </c>
      <c r="G5">
        <v>0</v>
      </c>
    </row>
    <row r="6" spans="2:29">
      <c r="C6">
        <v>0</v>
      </c>
      <c r="D6">
        <v>0</v>
      </c>
      <c r="E6">
        <v>0</v>
      </c>
      <c r="F6">
        <v>0</v>
      </c>
      <c r="G6">
        <v>0</v>
      </c>
    </row>
    <row r="7" spans="2:29">
      <c r="C7">
        <v>0</v>
      </c>
      <c r="D7">
        <v>0</v>
      </c>
      <c r="E7">
        <v>0</v>
      </c>
      <c r="F7">
        <v>0</v>
      </c>
      <c r="G7">
        <v>0</v>
      </c>
    </row>
    <row r="8" spans="2:29">
      <c r="C8">
        <v>0</v>
      </c>
      <c r="D8">
        <v>0</v>
      </c>
      <c r="E8">
        <v>0</v>
      </c>
      <c r="F8">
        <v>0</v>
      </c>
      <c r="G8">
        <v>0</v>
      </c>
    </row>
    <row r="9" spans="2:29">
      <c r="C9">
        <v>0</v>
      </c>
      <c r="D9">
        <v>0</v>
      </c>
      <c r="E9">
        <v>0</v>
      </c>
      <c r="F9">
        <v>0</v>
      </c>
      <c r="G9">
        <v>0</v>
      </c>
    </row>
    <row r="10" spans="2:29">
      <c r="C10">
        <v>0</v>
      </c>
      <c r="D10">
        <v>0</v>
      </c>
      <c r="E10">
        <v>0</v>
      </c>
      <c r="F10">
        <v>0</v>
      </c>
      <c r="G10">
        <v>0</v>
      </c>
    </row>
    <row r="11" spans="2:29">
      <c r="C11">
        <v>0</v>
      </c>
      <c r="D11">
        <v>0</v>
      </c>
      <c r="E11">
        <v>0</v>
      </c>
      <c r="F11">
        <v>0</v>
      </c>
      <c r="G11">
        <v>0</v>
      </c>
    </row>
    <row r="12" spans="2:29">
      <c r="C12" s="1"/>
      <c r="D12" s="1"/>
      <c r="E12" s="1"/>
      <c r="F12" s="1"/>
      <c r="G12" s="1"/>
      <c r="K12" s="8" t="s">
        <v>85</v>
      </c>
      <c r="N12" s="8" t="s">
        <v>76</v>
      </c>
      <c r="Q12" s="12" t="s">
        <v>84</v>
      </c>
      <c r="Y12" s="11" t="s">
        <v>79</v>
      </c>
      <c r="Z12" s="8" t="s">
        <v>80</v>
      </c>
      <c r="AA12" s="8" t="s">
        <v>81</v>
      </c>
      <c r="AB12" s="8" t="s">
        <v>82</v>
      </c>
      <c r="AC12" s="8" t="s">
        <v>83</v>
      </c>
    </row>
    <row r="13" spans="2:29">
      <c r="X13" t="s">
        <v>33</v>
      </c>
      <c r="Y13">
        <v>7.5003968253968241</v>
      </c>
      <c r="Z13">
        <v>6.7238095238095239</v>
      </c>
      <c r="AA13">
        <v>8.0785714285714274</v>
      </c>
      <c r="AB13">
        <v>8.0952621452621454</v>
      </c>
      <c r="AC13">
        <v>8.075925925925926</v>
      </c>
    </row>
    <row r="14" spans="2:29">
      <c r="C14" t="s">
        <v>8</v>
      </c>
      <c r="K14" s="8" t="s">
        <v>9</v>
      </c>
      <c r="X14" t="s">
        <v>78</v>
      </c>
      <c r="Y14">
        <v>0.14664940396490675</v>
      </c>
      <c r="Z14">
        <v>0.10753083954909529</v>
      </c>
      <c r="AA14">
        <v>0.22862910264172204</v>
      </c>
      <c r="AB14">
        <v>0.20348105440036493</v>
      </c>
      <c r="AC14">
        <v>0.28195464845903118</v>
      </c>
    </row>
    <row r="15" spans="2:29">
      <c r="C15" t="s">
        <v>9</v>
      </c>
      <c r="D15" t="s">
        <v>10</v>
      </c>
      <c r="E15" t="s">
        <v>11</v>
      </c>
      <c r="F15" t="s">
        <v>12</v>
      </c>
      <c r="G15" t="s">
        <v>13</v>
      </c>
      <c r="K15" t="s">
        <v>77</v>
      </c>
      <c r="L15" s="8" t="s">
        <v>67</v>
      </c>
      <c r="M15" s="8" t="s">
        <v>68</v>
      </c>
      <c r="N15" s="8" t="s">
        <v>69</v>
      </c>
      <c r="O15" s="8" t="s">
        <v>70</v>
      </c>
      <c r="P15" s="8" t="s">
        <v>71</v>
      </c>
      <c r="Q15" s="8" t="s">
        <v>72</v>
      </c>
      <c r="R15" s="8" t="s">
        <v>73</v>
      </c>
      <c r="S15" s="8" t="s">
        <v>74</v>
      </c>
      <c r="T15">
        <v>132</v>
      </c>
      <c r="U15">
        <v>144</v>
      </c>
      <c r="V15" s="8" t="s">
        <v>75</v>
      </c>
    </row>
    <row r="16" spans="2:29">
      <c r="B16" t="s">
        <v>14</v>
      </c>
      <c r="C16">
        <v>6</v>
      </c>
      <c r="D16">
        <v>3</v>
      </c>
      <c r="E16">
        <v>6</v>
      </c>
      <c r="F16">
        <v>6</v>
      </c>
      <c r="G16">
        <v>7</v>
      </c>
      <c r="K16" s="9">
        <f>(C16-C4)/1</f>
        <v>6</v>
      </c>
      <c r="L16" s="9">
        <f>(C29-C16)/1.5</f>
        <v>0</v>
      </c>
      <c r="M16" s="9">
        <f>(C41-C29)/2</f>
        <v>1.5</v>
      </c>
      <c r="N16" s="9">
        <f>(C54-C41)/2.5</f>
        <v>0</v>
      </c>
      <c r="O16" s="9">
        <f>(C65-C54)/3</f>
        <v>0</v>
      </c>
      <c r="P16" s="9">
        <f>(C76-C65)/3.5</f>
        <v>0</v>
      </c>
      <c r="Q16" s="9">
        <f>(C87-C76)/4</f>
        <v>0</v>
      </c>
      <c r="R16" s="9">
        <f>(C98-C87)/4.5</f>
        <v>0</v>
      </c>
      <c r="S16" s="9">
        <f>(C111-C98)/5</f>
        <v>0</v>
      </c>
      <c r="T16" s="9">
        <f>(C121-C111)/5.5</f>
        <v>0</v>
      </c>
      <c r="U16" s="9">
        <f>(C131-C121)/6</f>
        <v>0</v>
      </c>
      <c r="V16" s="9">
        <f>SUM(K16:U16)</f>
        <v>7.5</v>
      </c>
    </row>
    <row r="17" spans="2:22">
      <c r="B17" t="s">
        <v>15</v>
      </c>
      <c r="C17">
        <v>5</v>
      </c>
      <c r="D17">
        <v>3</v>
      </c>
      <c r="E17">
        <v>5</v>
      </c>
      <c r="F17">
        <v>6</v>
      </c>
      <c r="G17">
        <v>4</v>
      </c>
      <c r="K17" s="9">
        <f t="shared" ref="K17:K21" si="0">(C17-C5)/1</f>
        <v>5</v>
      </c>
      <c r="L17" s="9">
        <f>(C30-C17)/1.5</f>
        <v>0.66666666666666663</v>
      </c>
      <c r="M17" s="9">
        <f>(C42-C30)/2</f>
        <v>1.5</v>
      </c>
      <c r="N17" s="9">
        <f t="shared" ref="N17:N21" si="1">(C55-C42)/2.5</f>
        <v>0.4</v>
      </c>
      <c r="O17" s="9">
        <f t="shared" ref="O17:O21" si="2">(C66-C55)/3</f>
        <v>0</v>
      </c>
      <c r="P17" s="9">
        <f t="shared" ref="P17:P21" si="3">(C77-C66)/3.5</f>
        <v>0</v>
      </c>
      <c r="Q17" s="9">
        <f t="shared" ref="Q17:Q21" si="4">(C88-C77)/4</f>
        <v>0</v>
      </c>
      <c r="R17" s="9">
        <f t="shared" ref="R17:R21" si="5">(C99-C88)/4.5</f>
        <v>0</v>
      </c>
      <c r="S17" s="9">
        <f t="shared" ref="S17:S21" si="6">(C112-C99)/5</f>
        <v>0</v>
      </c>
      <c r="T17" s="9">
        <f t="shared" ref="T17:T21" si="7">(C122-C112)/5.5</f>
        <v>0</v>
      </c>
      <c r="U17" s="9">
        <f t="shared" ref="U17:U21" si="8">(C132-C122)/6</f>
        <v>0</v>
      </c>
      <c r="V17" s="9">
        <f t="shared" ref="V17:V21" si="9">SUM(K17:U17)</f>
        <v>7.5666666666666673</v>
      </c>
    </row>
    <row r="18" spans="2:22">
      <c r="B18" t="s">
        <v>16</v>
      </c>
      <c r="C18">
        <v>5</v>
      </c>
      <c r="D18">
        <v>3</v>
      </c>
      <c r="E18">
        <v>7</v>
      </c>
      <c r="F18">
        <v>5</v>
      </c>
      <c r="G18">
        <v>8</v>
      </c>
      <c r="K18" s="9">
        <f t="shared" si="0"/>
        <v>5</v>
      </c>
      <c r="L18" s="9">
        <f>(C31-C18)/1.5</f>
        <v>0</v>
      </c>
      <c r="M18" s="9">
        <f t="shared" ref="M18:M21" si="10">(C43-C31)/2</f>
        <v>2</v>
      </c>
      <c r="N18" s="9">
        <f t="shared" si="1"/>
        <v>0.4</v>
      </c>
      <c r="O18" s="9">
        <f t="shared" si="2"/>
        <v>0</v>
      </c>
      <c r="P18" s="9">
        <f t="shared" si="3"/>
        <v>0.2857142857142857</v>
      </c>
      <c r="Q18" s="9">
        <f t="shared" si="4"/>
        <v>0.25</v>
      </c>
      <c r="R18" s="9">
        <f t="shared" si="5"/>
        <v>0</v>
      </c>
      <c r="S18" s="9">
        <f t="shared" si="6"/>
        <v>0</v>
      </c>
      <c r="T18" s="9">
        <f t="shared" si="7"/>
        <v>0</v>
      </c>
      <c r="U18" s="9">
        <f t="shared" si="8"/>
        <v>0</v>
      </c>
      <c r="V18" s="9">
        <f t="shared" si="9"/>
        <v>7.9357142857142859</v>
      </c>
    </row>
    <row r="19" spans="2:22">
      <c r="B19" t="s">
        <v>17</v>
      </c>
      <c r="C19">
        <v>6</v>
      </c>
      <c r="D19">
        <v>4</v>
      </c>
      <c r="E19">
        <v>7</v>
      </c>
      <c r="F19">
        <v>5</v>
      </c>
      <c r="G19">
        <v>7</v>
      </c>
      <c r="K19" s="9">
        <f t="shared" si="0"/>
        <v>6</v>
      </c>
      <c r="L19" s="9">
        <f t="shared" ref="L19:L21" si="11">(C32-C19)/1.5</f>
        <v>0</v>
      </c>
      <c r="M19" s="9">
        <f t="shared" si="10"/>
        <v>1</v>
      </c>
      <c r="N19" s="9">
        <f t="shared" si="1"/>
        <v>1.2</v>
      </c>
      <c r="O19" s="9">
        <f t="shared" si="2"/>
        <v>0</v>
      </c>
      <c r="P19" s="9">
        <f t="shared" si="3"/>
        <v>0</v>
      </c>
      <c r="Q19" s="9">
        <f t="shared" si="4"/>
        <v>0</v>
      </c>
      <c r="R19" s="9">
        <f t="shared" si="5"/>
        <v>0</v>
      </c>
      <c r="S19" s="9">
        <f t="shared" si="6"/>
        <v>0</v>
      </c>
      <c r="T19" s="9">
        <f t="shared" si="7"/>
        <v>0</v>
      </c>
      <c r="U19" s="9">
        <f t="shared" si="8"/>
        <v>0</v>
      </c>
      <c r="V19" s="9">
        <f t="shared" si="9"/>
        <v>8.1999999999999993</v>
      </c>
    </row>
    <row r="20" spans="2:22">
      <c r="B20" t="s">
        <v>18</v>
      </c>
      <c r="C20">
        <v>4</v>
      </c>
      <c r="D20">
        <v>3</v>
      </c>
      <c r="E20">
        <v>8</v>
      </c>
      <c r="F20">
        <v>7</v>
      </c>
      <c r="G20">
        <v>8</v>
      </c>
      <c r="K20" s="9">
        <f t="shared" si="0"/>
        <v>4</v>
      </c>
      <c r="L20" s="9">
        <f t="shared" si="11"/>
        <v>0</v>
      </c>
      <c r="M20" s="9">
        <f t="shared" si="10"/>
        <v>2</v>
      </c>
      <c r="N20" s="9">
        <f t="shared" si="1"/>
        <v>0.4</v>
      </c>
      <c r="O20" s="9">
        <f t="shared" si="2"/>
        <v>0.33333333333333331</v>
      </c>
      <c r="P20" s="9">
        <f t="shared" si="3"/>
        <v>0</v>
      </c>
      <c r="Q20" s="9">
        <f t="shared" si="4"/>
        <v>0.25</v>
      </c>
      <c r="R20" s="9">
        <f t="shared" si="5"/>
        <v>0</v>
      </c>
      <c r="S20" s="9">
        <f t="shared" si="6"/>
        <v>0</v>
      </c>
      <c r="T20" s="9">
        <f t="shared" si="7"/>
        <v>0</v>
      </c>
      <c r="U20" s="9">
        <f t="shared" si="8"/>
        <v>0</v>
      </c>
      <c r="V20" s="9">
        <f t="shared" si="9"/>
        <v>6.9833333333333334</v>
      </c>
    </row>
    <row r="21" spans="2:22">
      <c r="B21" t="s">
        <v>19</v>
      </c>
      <c r="C21">
        <v>2</v>
      </c>
      <c r="D21">
        <v>3</v>
      </c>
      <c r="E21">
        <v>4</v>
      </c>
      <c r="F21">
        <v>6</v>
      </c>
      <c r="G21">
        <v>5</v>
      </c>
      <c r="K21" s="9">
        <f t="shared" si="0"/>
        <v>2</v>
      </c>
      <c r="L21" s="9">
        <f t="shared" si="11"/>
        <v>2.6666666666666665</v>
      </c>
      <c r="M21" s="9">
        <f t="shared" si="10"/>
        <v>1.5</v>
      </c>
      <c r="N21" s="9">
        <f t="shared" si="1"/>
        <v>0.4</v>
      </c>
      <c r="O21" s="9">
        <f t="shared" si="2"/>
        <v>0</v>
      </c>
      <c r="P21" s="9">
        <f t="shared" si="3"/>
        <v>0</v>
      </c>
      <c r="Q21" s="9">
        <f t="shared" si="4"/>
        <v>0.25</v>
      </c>
      <c r="R21" s="9">
        <f t="shared" si="5"/>
        <v>0</v>
      </c>
      <c r="S21" s="9">
        <f t="shared" si="6"/>
        <v>0</v>
      </c>
      <c r="T21" s="9">
        <f t="shared" si="7"/>
        <v>0</v>
      </c>
      <c r="U21" s="9">
        <f t="shared" si="8"/>
        <v>0</v>
      </c>
      <c r="V21" s="9">
        <f t="shared" si="9"/>
        <v>6.8166666666666664</v>
      </c>
    </row>
    <row r="22" spans="2:22">
      <c r="B22" t="s">
        <v>20</v>
      </c>
      <c r="C22" s="2">
        <f>AVERAGE(C16:C21)</f>
        <v>4.666666666666667</v>
      </c>
      <c r="D22" s="2">
        <f>AVERAGE(D16:D21)</f>
        <v>3.1666666666666665</v>
      </c>
      <c r="E22" s="2">
        <f>AVERAGE(E16:E21)</f>
        <v>6.166666666666667</v>
      </c>
      <c r="F22" s="2">
        <f>AVERAGE(F16:F21)</f>
        <v>5.833333333333333</v>
      </c>
      <c r="G22" s="2">
        <f>AVERAGE(G16:G21)</f>
        <v>6.5</v>
      </c>
      <c r="L22" s="9"/>
      <c r="U22" t="s">
        <v>20</v>
      </c>
      <c r="V22" s="10">
        <f>AVERAGE(V16:V21)</f>
        <v>7.5003968253968241</v>
      </c>
    </row>
    <row r="23" spans="2:22">
      <c r="B23" t="s">
        <v>21</v>
      </c>
      <c r="C23" s="2">
        <f>STDEV(C16:C21)</f>
        <v>1.5055453054181624</v>
      </c>
      <c r="D23" s="2">
        <f>STDEV(D16:D21)</f>
        <v>0.40824829046386357</v>
      </c>
      <c r="E23" s="2">
        <f>STDEV(E16:E21)</f>
        <v>1.4719601443879753</v>
      </c>
      <c r="F23" s="2">
        <f>STDEV(F16:F21)</f>
        <v>0.75277265270908222</v>
      </c>
      <c r="G23" s="2">
        <f>STDEV(G16:G21)</f>
        <v>1.6431676725154984</v>
      </c>
      <c r="L23" s="9"/>
      <c r="U23" t="s">
        <v>21</v>
      </c>
      <c r="V23" s="10">
        <f>STDEV(V16:V21)</f>
        <v>0.53257475105126162</v>
      </c>
    </row>
    <row r="24" spans="2:22">
      <c r="B24" t="s">
        <v>22</v>
      </c>
      <c r="C24" s="1">
        <f>CONFIDENCE(0.5,C23,6)</f>
        <v>0.41456588252807669</v>
      </c>
      <c r="D24" s="1">
        <f>CONFIDENCE(0.5,D23,6)</f>
        <v>0.11241495836601376</v>
      </c>
      <c r="E24" s="1">
        <f>CONFIDENCE(0.5,E23,6)</f>
        <v>0.4053178965178118</v>
      </c>
      <c r="F24" s="1">
        <f>CONFIDENCE(0.5,F23,6)</f>
        <v>0.20728294126403862</v>
      </c>
      <c r="G24" s="1">
        <f>CONFIDENCE(0.5,G23,6)</f>
        <v>0.45246147946958726</v>
      </c>
      <c r="L24" s="9"/>
      <c r="U24" t="s">
        <v>22</v>
      </c>
      <c r="V24" s="10">
        <f>CONFIDENCE(0.5,V23,6)</f>
        <v>0.14664940396490675</v>
      </c>
    </row>
    <row r="27" spans="2:22">
      <c r="D27" t="s">
        <v>23</v>
      </c>
      <c r="K27" s="8" t="s">
        <v>10</v>
      </c>
    </row>
    <row r="28" spans="2:22">
      <c r="C28" t="s">
        <v>24</v>
      </c>
      <c r="D28" t="s">
        <v>25</v>
      </c>
      <c r="E28" t="s">
        <v>26</v>
      </c>
      <c r="F28" t="s">
        <v>27</v>
      </c>
      <c r="G28" t="s">
        <v>28</v>
      </c>
      <c r="K28" t="s">
        <v>77</v>
      </c>
      <c r="L28" s="8" t="s">
        <v>67</v>
      </c>
      <c r="M28" s="8" t="s">
        <v>68</v>
      </c>
      <c r="N28" s="8" t="s">
        <v>69</v>
      </c>
      <c r="O28" s="8" t="s">
        <v>70</v>
      </c>
      <c r="P28" s="8" t="s">
        <v>71</v>
      </c>
      <c r="Q28" s="8" t="s">
        <v>72</v>
      </c>
      <c r="R28" s="8" t="s">
        <v>73</v>
      </c>
      <c r="S28" s="8" t="s">
        <v>74</v>
      </c>
      <c r="T28">
        <v>132</v>
      </c>
      <c r="U28">
        <v>144</v>
      </c>
      <c r="V28" s="8" t="s">
        <v>75</v>
      </c>
    </row>
    <row r="29" spans="2:22">
      <c r="B29">
        <v>1</v>
      </c>
      <c r="C29">
        <v>6</v>
      </c>
      <c r="D29">
        <v>4</v>
      </c>
      <c r="E29">
        <v>6</v>
      </c>
      <c r="F29">
        <v>6</v>
      </c>
      <c r="G29">
        <v>7</v>
      </c>
      <c r="K29" s="9">
        <f>(D16-D4)/1</f>
        <v>3</v>
      </c>
      <c r="L29" s="9">
        <f>(D29-D16)/1.5</f>
        <v>0.66666666666666663</v>
      </c>
      <c r="M29" s="9">
        <f>(D41-D29)/2</f>
        <v>2</v>
      </c>
      <c r="N29" s="9">
        <f>(D54-D41)/2.5</f>
        <v>0.8</v>
      </c>
      <c r="O29" s="9">
        <f>(D65-D54)/3</f>
        <v>0</v>
      </c>
      <c r="P29" s="9">
        <f>(D76-D65)/3.5</f>
        <v>0</v>
      </c>
      <c r="Q29" s="9">
        <f>(D87-D76)/4</f>
        <v>0</v>
      </c>
      <c r="R29" s="9">
        <f>(D98-D87)/4.5</f>
        <v>0</v>
      </c>
      <c r="S29" s="9">
        <f>(D111-D98)/5</f>
        <v>0</v>
      </c>
      <c r="T29" s="9">
        <f>(D121-D111)/5.5</f>
        <v>0</v>
      </c>
      <c r="U29" s="9">
        <f>(D131-D121)/6</f>
        <v>0</v>
      </c>
      <c r="V29" s="9">
        <f>SUM(K29:U29)</f>
        <v>6.4666666666666659</v>
      </c>
    </row>
    <row r="30" spans="2:22">
      <c r="B30">
        <v>2</v>
      </c>
      <c r="C30">
        <v>6</v>
      </c>
      <c r="D30">
        <v>3</v>
      </c>
      <c r="E30">
        <v>5</v>
      </c>
      <c r="F30">
        <v>6</v>
      </c>
      <c r="G30">
        <v>4</v>
      </c>
      <c r="K30" s="9">
        <f t="shared" ref="K30:K34" si="12">(D17-D5)/1</f>
        <v>3</v>
      </c>
      <c r="L30" s="9">
        <f t="shared" ref="L30:L34" si="13">(D30-D17)/1.5</f>
        <v>0</v>
      </c>
      <c r="M30" s="9">
        <f t="shared" ref="M30:M33" si="14">(D42-D30)/2</f>
        <v>3.5</v>
      </c>
      <c r="N30" s="9">
        <f t="shared" ref="N30:N33" si="15">(D55-D42)/2.5</f>
        <v>0</v>
      </c>
      <c r="O30" s="9">
        <f t="shared" ref="O30:O34" si="16">(D66-D55)/3</f>
        <v>0</v>
      </c>
      <c r="P30" s="9">
        <f>(D77-D66)/3.5</f>
        <v>0.2857142857142857</v>
      </c>
      <c r="Q30" s="9">
        <f t="shared" ref="Q30:Q34" si="17">(D88-D77)/4</f>
        <v>0</v>
      </c>
      <c r="R30" s="9">
        <f t="shared" ref="R30:R33" si="18">(D99-D88)/4.5</f>
        <v>0</v>
      </c>
      <c r="S30" s="9">
        <f t="shared" ref="S30:S33" si="19">(D112-D99)/5</f>
        <v>0</v>
      </c>
      <c r="T30" s="9">
        <f t="shared" ref="T30:T34" si="20">(D122-D112)/5.5</f>
        <v>0</v>
      </c>
      <c r="U30" s="9">
        <f t="shared" ref="U30:U34" si="21">(D132-D122)/6</f>
        <v>0</v>
      </c>
      <c r="V30" s="9">
        <f t="shared" ref="V30:V34" si="22">SUM(K30:U30)</f>
        <v>6.7857142857142856</v>
      </c>
    </row>
    <row r="31" spans="2:22">
      <c r="B31">
        <v>3</v>
      </c>
      <c r="C31">
        <v>5</v>
      </c>
      <c r="D31">
        <v>5</v>
      </c>
      <c r="E31">
        <v>7</v>
      </c>
      <c r="F31">
        <v>5</v>
      </c>
      <c r="G31">
        <v>8</v>
      </c>
      <c r="K31" s="9">
        <f t="shared" si="12"/>
        <v>3</v>
      </c>
      <c r="L31" s="9">
        <f t="shared" si="13"/>
        <v>1.3333333333333333</v>
      </c>
      <c r="M31" s="9">
        <f t="shared" si="14"/>
        <v>2</v>
      </c>
      <c r="N31" s="9">
        <f t="shared" si="15"/>
        <v>0</v>
      </c>
      <c r="O31" s="9">
        <f t="shared" si="16"/>
        <v>0.66666666666666663</v>
      </c>
      <c r="P31" s="9">
        <f t="shared" ref="P31:P34" si="23">(D78-D67)/3.5</f>
        <v>0.2857142857142857</v>
      </c>
      <c r="Q31" s="9">
        <f t="shared" si="17"/>
        <v>0</v>
      </c>
      <c r="R31" s="9">
        <f t="shared" si="18"/>
        <v>0</v>
      </c>
      <c r="S31" s="9">
        <f t="shared" si="19"/>
        <v>0</v>
      </c>
      <c r="T31" s="9">
        <f t="shared" si="20"/>
        <v>0</v>
      </c>
      <c r="U31" s="9">
        <f t="shared" si="21"/>
        <v>0</v>
      </c>
      <c r="V31" s="9">
        <f t="shared" si="22"/>
        <v>7.2857142857142856</v>
      </c>
    </row>
    <row r="32" spans="2:22">
      <c r="B32">
        <v>4</v>
      </c>
      <c r="C32">
        <v>6</v>
      </c>
      <c r="D32">
        <v>4</v>
      </c>
      <c r="E32">
        <v>7</v>
      </c>
      <c r="F32">
        <v>5</v>
      </c>
      <c r="G32">
        <v>7</v>
      </c>
      <c r="K32" s="9">
        <f t="shared" si="12"/>
        <v>4</v>
      </c>
      <c r="L32" s="9">
        <f t="shared" si="13"/>
        <v>0</v>
      </c>
      <c r="M32" s="9">
        <f t="shared" si="14"/>
        <v>2</v>
      </c>
      <c r="N32" s="9">
        <f t="shared" si="15"/>
        <v>0</v>
      </c>
      <c r="O32" s="9">
        <f t="shared" si="16"/>
        <v>0.33333333333333331</v>
      </c>
      <c r="P32" s="9">
        <f t="shared" si="23"/>
        <v>0.2857142857142857</v>
      </c>
      <c r="Q32" s="9">
        <f t="shared" si="17"/>
        <v>0</v>
      </c>
      <c r="R32" s="9">
        <f t="shared" si="18"/>
        <v>0</v>
      </c>
      <c r="S32" s="9">
        <f t="shared" si="19"/>
        <v>0</v>
      </c>
      <c r="T32" s="9">
        <f t="shared" si="20"/>
        <v>0</v>
      </c>
      <c r="U32" s="9">
        <f t="shared" si="21"/>
        <v>0</v>
      </c>
      <c r="V32" s="9">
        <f t="shared" si="22"/>
        <v>6.6190476190476186</v>
      </c>
    </row>
    <row r="33" spans="2:22">
      <c r="B33">
        <v>5</v>
      </c>
      <c r="C33">
        <v>4</v>
      </c>
      <c r="D33">
        <v>3</v>
      </c>
      <c r="E33">
        <v>8</v>
      </c>
      <c r="F33">
        <v>7</v>
      </c>
      <c r="G33">
        <v>8</v>
      </c>
      <c r="K33" s="9">
        <f t="shared" si="12"/>
        <v>3</v>
      </c>
      <c r="L33" s="9">
        <f t="shared" si="13"/>
        <v>0</v>
      </c>
      <c r="M33" s="9">
        <f t="shared" si="14"/>
        <v>2.5</v>
      </c>
      <c r="N33" s="9">
        <f t="shared" si="15"/>
        <v>0.4</v>
      </c>
      <c r="O33" s="9">
        <f t="shared" si="16"/>
        <v>0</v>
      </c>
      <c r="P33" s="9">
        <f t="shared" si="23"/>
        <v>0.2857142857142857</v>
      </c>
      <c r="Q33" s="9">
        <f t="shared" si="17"/>
        <v>0</v>
      </c>
      <c r="R33" s="9">
        <f t="shared" si="18"/>
        <v>0</v>
      </c>
      <c r="S33" s="9">
        <f t="shared" si="19"/>
        <v>0</v>
      </c>
      <c r="T33" s="9">
        <f t="shared" si="20"/>
        <v>0</v>
      </c>
      <c r="U33" s="9">
        <f t="shared" si="21"/>
        <v>0</v>
      </c>
      <c r="V33" s="9">
        <f t="shared" si="22"/>
        <v>6.1857142857142859</v>
      </c>
    </row>
    <row r="34" spans="2:22">
      <c r="B34">
        <v>6</v>
      </c>
      <c r="C34">
        <v>6</v>
      </c>
      <c r="D34">
        <v>3</v>
      </c>
      <c r="E34">
        <v>4</v>
      </c>
      <c r="F34">
        <v>7</v>
      </c>
      <c r="G34">
        <v>5</v>
      </c>
      <c r="K34" s="9">
        <f t="shared" si="12"/>
        <v>3</v>
      </c>
      <c r="L34" s="9">
        <f t="shared" si="13"/>
        <v>0</v>
      </c>
      <c r="M34" s="9">
        <f>(D46-D34)/2</f>
        <v>4</v>
      </c>
      <c r="N34" s="9">
        <f>(D59-D46)/2.5</f>
        <v>0</v>
      </c>
      <c r="O34" s="9">
        <f t="shared" si="16"/>
        <v>0</v>
      </c>
      <c r="P34" s="9">
        <f t="shared" si="23"/>
        <v>0</v>
      </c>
      <c r="Q34" s="9">
        <f t="shared" si="17"/>
        <v>0</v>
      </c>
      <c r="R34" s="9">
        <f>(D103-D92)/4.5</f>
        <v>0</v>
      </c>
      <c r="S34" s="9">
        <f>(D116-D103)/5</f>
        <v>0</v>
      </c>
      <c r="T34" s="9">
        <f t="shared" si="20"/>
        <v>0</v>
      </c>
      <c r="U34" s="9">
        <f t="shared" si="21"/>
        <v>0</v>
      </c>
      <c r="V34" s="9">
        <f t="shared" si="22"/>
        <v>7</v>
      </c>
    </row>
    <row r="35" spans="2:22">
      <c r="B35" t="s">
        <v>29</v>
      </c>
      <c r="C35" s="2">
        <f>AVERAGE(C29:C34)</f>
        <v>5.5</v>
      </c>
      <c r="D35" s="2">
        <f>AVERAGE(D29:D34)</f>
        <v>3.6666666666666665</v>
      </c>
      <c r="E35" s="2">
        <f>AVERAGE(E29:E34)</f>
        <v>6.166666666666667</v>
      </c>
      <c r="F35" s="2">
        <f>AVERAGE(F29:F34)</f>
        <v>6</v>
      </c>
      <c r="G35" s="2">
        <f>AVERAGE(G29:G34)</f>
        <v>6.5</v>
      </c>
      <c r="L35" s="9"/>
      <c r="U35" t="s">
        <v>20</v>
      </c>
      <c r="V35" s="10">
        <f>AVERAGE(V29:V34)</f>
        <v>6.7238095238095239</v>
      </c>
    </row>
    <row r="36" spans="2:22">
      <c r="B36" t="s">
        <v>30</v>
      </c>
      <c r="C36" s="1">
        <f>STDEV(C29:C34)</f>
        <v>0.83666002653407556</v>
      </c>
      <c r="D36" s="1">
        <f>STDEV(D29:D34)</f>
        <v>0.81649658092772548</v>
      </c>
      <c r="E36" s="1">
        <f>STDEV(E29:E34)</f>
        <v>1.4719601443879753</v>
      </c>
      <c r="F36" s="1">
        <f>STDEV(F29:F34)</f>
        <v>0.89442719099991586</v>
      </c>
      <c r="G36" s="1">
        <f>STDEV(G29:G34)</f>
        <v>1.6431676725154984</v>
      </c>
      <c r="L36" s="9"/>
      <c r="U36" t="s">
        <v>21</v>
      </c>
      <c r="V36" s="10">
        <f>STDEV(V29:V34)</f>
        <v>0.3905110321273238</v>
      </c>
    </row>
    <row r="37" spans="2:22">
      <c r="B37" t="s">
        <v>31</v>
      </c>
      <c r="C37" s="1">
        <f>CONFIDENCE(0.5,C36,6)</f>
        <v>0.23038210874678791</v>
      </c>
      <c r="D37" s="1">
        <f>CONFIDENCE(0.5,D36,6)</f>
        <v>0.22482991673202707</v>
      </c>
      <c r="E37" s="1">
        <f>CONFIDENCE(0.5,E36,6)</f>
        <v>0.4053178965178118</v>
      </c>
      <c r="F37" s="1">
        <f>CONFIDENCE(0.5,F36,6)</f>
        <v>0.24628883399227897</v>
      </c>
      <c r="G37" s="1">
        <f>CONFIDENCE(0.5,G36,6)</f>
        <v>0.45246147946958726</v>
      </c>
      <c r="L37" s="9"/>
      <c r="U37" t="s">
        <v>22</v>
      </c>
      <c r="V37" s="10">
        <f>CONFIDENCE(0.5,V36,6)</f>
        <v>0.10753083954909529</v>
      </c>
    </row>
    <row r="38" spans="2:22">
      <c r="K38" t="s">
        <v>11</v>
      </c>
    </row>
    <row r="39" spans="2:22">
      <c r="C39" t="s">
        <v>32</v>
      </c>
    </row>
    <row r="40" spans="2:22">
      <c r="C40" t="s">
        <v>24</v>
      </c>
      <c r="D40" t="s">
        <v>25</v>
      </c>
      <c r="E40" t="s">
        <v>26</v>
      </c>
      <c r="F40" t="s">
        <v>27</v>
      </c>
      <c r="G40" t="s">
        <v>28</v>
      </c>
      <c r="K40" t="s">
        <v>77</v>
      </c>
      <c r="L40" s="8" t="s">
        <v>67</v>
      </c>
      <c r="M40" s="8" t="s">
        <v>68</v>
      </c>
      <c r="N40" s="8" t="s">
        <v>69</v>
      </c>
      <c r="O40" s="8" t="s">
        <v>70</v>
      </c>
      <c r="P40" s="8" t="s">
        <v>71</v>
      </c>
      <c r="Q40" s="8" t="s">
        <v>72</v>
      </c>
      <c r="R40" s="8" t="s">
        <v>73</v>
      </c>
      <c r="S40" s="8" t="s">
        <v>74</v>
      </c>
      <c r="T40">
        <v>132</v>
      </c>
      <c r="U40">
        <v>144</v>
      </c>
      <c r="V40" s="8" t="s">
        <v>75</v>
      </c>
    </row>
    <row r="41" spans="2:22">
      <c r="B41">
        <v>1</v>
      </c>
      <c r="C41">
        <v>9</v>
      </c>
      <c r="D41">
        <v>8</v>
      </c>
      <c r="E41">
        <v>9</v>
      </c>
      <c r="F41">
        <v>10</v>
      </c>
      <c r="G41">
        <v>11</v>
      </c>
      <c r="K41" s="9">
        <f>(E16-E4)/1</f>
        <v>6</v>
      </c>
      <c r="L41" s="9">
        <f>(E29-E16)/1.5</f>
        <v>0</v>
      </c>
      <c r="M41" s="9">
        <f>(E41-E29)/2</f>
        <v>1.5</v>
      </c>
      <c r="N41" s="9">
        <f>(E54-E41)/2.5</f>
        <v>0</v>
      </c>
      <c r="O41" s="9">
        <f>(E65-E54)/3</f>
        <v>0</v>
      </c>
      <c r="P41" s="9">
        <f>(E76-E65)/3.5</f>
        <v>0.2857142857142857</v>
      </c>
      <c r="Q41" s="9">
        <f>(E87-E76)/4</f>
        <v>0.25</v>
      </c>
      <c r="R41" s="9">
        <f>(E98-E87)/4.5</f>
        <v>0</v>
      </c>
      <c r="S41" s="9">
        <f>(E111-E98)/5</f>
        <v>0</v>
      </c>
      <c r="T41" s="9">
        <f>(E121-E111)/5.5</f>
        <v>0</v>
      </c>
      <c r="U41" s="9">
        <f>(E131-E121)/6</f>
        <v>0</v>
      </c>
      <c r="V41" s="9">
        <f>SUM(K41:U41)</f>
        <v>8.0357142857142847</v>
      </c>
    </row>
    <row r="42" spans="2:22">
      <c r="B42">
        <v>2</v>
      </c>
      <c r="C42">
        <v>9</v>
      </c>
      <c r="D42">
        <v>10</v>
      </c>
      <c r="E42">
        <v>9</v>
      </c>
      <c r="F42">
        <v>8</v>
      </c>
      <c r="G42">
        <v>8</v>
      </c>
      <c r="K42" s="9">
        <f t="shared" ref="K42:K46" si="24">(E17-E5)/1</f>
        <v>5</v>
      </c>
      <c r="L42" s="9">
        <f t="shared" ref="L42:L46" si="25">(E30-E17)/1.5</f>
        <v>0</v>
      </c>
      <c r="M42" s="9">
        <f t="shared" ref="M42:M46" si="26">(E42-E30)/2</f>
        <v>2</v>
      </c>
      <c r="N42" s="9">
        <f t="shared" ref="N42:N46" si="27">(E55-E42)/2.5</f>
        <v>0</v>
      </c>
      <c r="O42" s="9">
        <f t="shared" ref="O42:O46" si="28">(E66-E55)/3</f>
        <v>0</v>
      </c>
      <c r="P42" s="9">
        <f t="shared" ref="P42:P46" si="29">(E77-E66)/3.5</f>
        <v>0</v>
      </c>
      <c r="Q42" s="9">
        <f t="shared" ref="Q42:Q46" si="30">(E88-E77)/4</f>
        <v>0</v>
      </c>
      <c r="R42" s="9">
        <f t="shared" ref="R42:R46" si="31">(E99-E88)/4.5</f>
        <v>0</v>
      </c>
      <c r="S42" s="9">
        <f t="shared" ref="S42:S46" si="32">(E112-E99)/5</f>
        <v>0</v>
      </c>
      <c r="T42" s="9">
        <f t="shared" ref="T42:T46" si="33">(E122-E112)/5.5</f>
        <v>0</v>
      </c>
      <c r="U42" s="9">
        <f t="shared" ref="U42:U46" si="34">(E132-E122)/6</f>
        <v>0</v>
      </c>
      <c r="V42" s="9">
        <f t="shared" ref="V42:V46" si="35">SUM(K42:U42)</f>
        <v>7</v>
      </c>
    </row>
    <row r="43" spans="2:22">
      <c r="B43">
        <v>3</v>
      </c>
      <c r="C43">
        <v>9</v>
      </c>
      <c r="D43">
        <v>9</v>
      </c>
      <c r="E43">
        <v>9</v>
      </c>
      <c r="F43">
        <v>7</v>
      </c>
      <c r="G43">
        <v>9</v>
      </c>
      <c r="K43" s="9">
        <f t="shared" si="24"/>
        <v>7</v>
      </c>
      <c r="L43" s="9">
        <f t="shared" si="25"/>
        <v>0</v>
      </c>
      <c r="M43" s="9">
        <f t="shared" si="26"/>
        <v>1</v>
      </c>
      <c r="N43" s="9">
        <f t="shared" si="27"/>
        <v>0.4</v>
      </c>
      <c r="O43" s="9">
        <f t="shared" si="28"/>
        <v>0</v>
      </c>
      <c r="P43" s="9">
        <f t="shared" si="29"/>
        <v>0</v>
      </c>
      <c r="Q43" s="9">
        <f t="shared" si="30"/>
        <v>0</v>
      </c>
      <c r="R43" s="9">
        <f t="shared" si="31"/>
        <v>0</v>
      </c>
      <c r="S43" s="9">
        <f t="shared" si="32"/>
        <v>0</v>
      </c>
      <c r="T43" s="9">
        <f t="shared" si="33"/>
        <v>0</v>
      </c>
      <c r="U43" s="9">
        <f t="shared" si="34"/>
        <v>0</v>
      </c>
      <c r="V43" s="9">
        <f t="shared" si="35"/>
        <v>8.4</v>
      </c>
    </row>
    <row r="44" spans="2:22">
      <c r="B44">
        <v>4</v>
      </c>
      <c r="C44">
        <v>8</v>
      </c>
      <c r="D44">
        <v>8</v>
      </c>
      <c r="E44">
        <v>10</v>
      </c>
      <c r="F44">
        <v>9</v>
      </c>
      <c r="G44">
        <v>9</v>
      </c>
      <c r="K44" s="9">
        <f t="shared" si="24"/>
        <v>7</v>
      </c>
      <c r="L44" s="9">
        <f t="shared" si="25"/>
        <v>0</v>
      </c>
      <c r="M44" s="9">
        <f t="shared" si="26"/>
        <v>1.5</v>
      </c>
      <c r="N44" s="9">
        <f t="shared" si="27"/>
        <v>0</v>
      </c>
      <c r="O44" s="9">
        <f t="shared" si="28"/>
        <v>0</v>
      </c>
      <c r="P44" s="9">
        <f t="shared" si="29"/>
        <v>0</v>
      </c>
      <c r="Q44" s="9">
        <f t="shared" si="30"/>
        <v>0</v>
      </c>
      <c r="R44" s="9">
        <f t="shared" si="31"/>
        <v>0</v>
      </c>
      <c r="S44" s="9">
        <f t="shared" si="32"/>
        <v>0</v>
      </c>
      <c r="T44" s="9">
        <f t="shared" si="33"/>
        <v>0</v>
      </c>
      <c r="U44" s="9">
        <f t="shared" si="34"/>
        <v>0</v>
      </c>
      <c r="V44" s="9">
        <f t="shared" si="35"/>
        <v>8.5</v>
      </c>
    </row>
    <row r="45" spans="2:22">
      <c r="B45">
        <v>5</v>
      </c>
      <c r="C45">
        <v>8</v>
      </c>
      <c r="D45">
        <v>8</v>
      </c>
      <c r="E45">
        <v>10</v>
      </c>
      <c r="F45">
        <v>10</v>
      </c>
      <c r="G45">
        <v>10</v>
      </c>
      <c r="K45" s="9">
        <f t="shared" si="24"/>
        <v>8</v>
      </c>
      <c r="L45" s="9">
        <f t="shared" si="25"/>
        <v>0</v>
      </c>
      <c r="M45" s="9">
        <f t="shared" si="26"/>
        <v>1</v>
      </c>
      <c r="N45" s="9">
        <f t="shared" si="27"/>
        <v>0</v>
      </c>
      <c r="O45" s="9">
        <f t="shared" si="28"/>
        <v>0</v>
      </c>
      <c r="P45" s="9">
        <f t="shared" si="29"/>
        <v>0</v>
      </c>
      <c r="Q45" s="9">
        <f t="shared" si="30"/>
        <v>0.25</v>
      </c>
      <c r="R45" s="9">
        <f t="shared" si="31"/>
        <v>0</v>
      </c>
      <c r="S45" s="9">
        <f t="shared" si="32"/>
        <v>0</v>
      </c>
      <c r="T45" s="9">
        <f t="shared" si="33"/>
        <v>0</v>
      </c>
      <c r="U45" s="9">
        <f t="shared" si="34"/>
        <v>0</v>
      </c>
      <c r="V45" s="9">
        <f t="shared" si="35"/>
        <v>9.25</v>
      </c>
    </row>
    <row r="46" spans="2:22">
      <c r="B46">
        <v>6</v>
      </c>
      <c r="C46">
        <v>9</v>
      </c>
      <c r="D46">
        <v>11</v>
      </c>
      <c r="E46">
        <v>10</v>
      </c>
      <c r="F46">
        <v>7</v>
      </c>
      <c r="G46">
        <v>8</v>
      </c>
      <c r="K46" s="9">
        <f t="shared" si="24"/>
        <v>4</v>
      </c>
      <c r="L46" s="9">
        <f t="shared" si="25"/>
        <v>0</v>
      </c>
      <c r="M46" s="9">
        <f t="shared" si="26"/>
        <v>3</v>
      </c>
      <c r="N46" s="9">
        <f t="shared" si="27"/>
        <v>0</v>
      </c>
      <c r="O46" s="9">
        <f t="shared" si="28"/>
        <v>0</v>
      </c>
      <c r="P46" s="9">
        <f t="shared" si="29"/>
        <v>0.2857142857142857</v>
      </c>
      <c r="Q46" s="9">
        <f t="shared" si="30"/>
        <v>0</v>
      </c>
      <c r="R46" s="9">
        <f t="shared" si="31"/>
        <v>0</v>
      </c>
      <c r="S46" s="9">
        <f t="shared" si="32"/>
        <v>0</v>
      </c>
      <c r="T46" s="9">
        <f t="shared" si="33"/>
        <v>0</v>
      </c>
      <c r="U46" s="9">
        <f t="shared" si="34"/>
        <v>0</v>
      </c>
      <c r="V46" s="9">
        <f t="shared" si="35"/>
        <v>7.2857142857142856</v>
      </c>
    </row>
    <row r="47" spans="2:22">
      <c r="B47" t="s">
        <v>33</v>
      </c>
      <c r="C47" s="1">
        <f>AVERAGE(C41:C46)</f>
        <v>8.6666666666666661</v>
      </c>
      <c r="D47" s="1">
        <f>AVERAGE(D41:D46)</f>
        <v>9</v>
      </c>
      <c r="E47" s="1">
        <f>AVERAGE(E41:E46)</f>
        <v>9.5</v>
      </c>
      <c r="F47" s="1">
        <f>AVERAGE(F41:F46)</f>
        <v>8.5</v>
      </c>
      <c r="G47" s="1">
        <f>AVERAGE(G41:G46)</f>
        <v>9.1666666666666661</v>
      </c>
      <c r="L47" s="9"/>
      <c r="U47" t="s">
        <v>20</v>
      </c>
      <c r="V47" s="10">
        <f>AVERAGE(V41:V46)</f>
        <v>8.0785714285714274</v>
      </c>
    </row>
    <row r="48" spans="2:22">
      <c r="B48" t="s">
        <v>30</v>
      </c>
      <c r="C48" s="3">
        <f>AVERAGE(C41:C46)</f>
        <v>8.6666666666666661</v>
      </c>
      <c r="D48" s="3">
        <f>AVERAGE(D41:D46)</f>
        <v>9</v>
      </c>
      <c r="E48" s="3">
        <f>AVERAGE(E41:E46)</f>
        <v>9.5</v>
      </c>
      <c r="F48" s="3">
        <f>AVERAGE(F41:F46)</f>
        <v>8.5</v>
      </c>
      <c r="G48" s="3">
        <f>AVERAGE(G41:G46)</f>
        <v>9.1666666666666661</v>
      </c>
      <c r="L48" s="9"/>
      <c r="U48" t="s">
        <v>21</v>
      </c>
      <c r="V48" s="10">
        <f>STDEV(V41:V46)</f>
        <v>0.83029377638402235</v>
      </c>
    </row>
    <row r="49" spans="2:22">
      <c r="B49" t="s">
        <v>34</v>
      </c>
      <c r="C49" s="3">
        <f>CONFIDENCE(0.5,C48,6)</f>
        <v>2.3864471579255522</v>
      </c>
      <c r="D49" s="3">
        <f>CONFIDENCE(0.5,D48,6)</f>
        <v>2.4782335870765348</v>
      </c>
      <c r="E49" s="3">
        <f>CONFIDENCE(0.5,E48,6)</f>
        <v>2.6159132308030091</v>
      </c>
      <c r="F49" s="3">
        <f>CONFIDENCE(0.5,F48,6)</f>
        <v>2.3405539433500611</v>
      </c>
      <c r="G49" s="3">
        <f>CONFIDENCE(0.5,G48,6)</f>
        <v>2.5241268016520264</v>
      </c>
      <c r="L49" s="9"/>
      <c r="U49" t="s">
        <v>22</v>
      </c>
      <c r="V49" s="10">
        <f>CONFIDENCE(0.5,V48,6)</f>
        <v>0.22862910264172204</v>
      </c>
    </row>
    <row r="51" spans="2:22">
      <c r="K51" t="s">
        <v>12</v>
      </c>
    </row>
    <row r="52" spans="2:22">
      <c r="C52" t="s">
        <v>35</v>
      </c>
      <c r="K52" t="s">
        <v>77</v>
      </c>
      <c r="L52" s="8" t="s">
        <v>67</v>
      </c>
      <c r="M52" s="8" t="s">
        <v>68</v>
      </c>
      <c r="N52" s="8" t="s">
        <v>69</v>
      </c>
      <c r="O52" s="8" t="s">
        <v>70</v>
      </c>
      <c r="P52" s="8" t="s">
        <v>71</v>
      </c>
      <c r="Q52" s="8" t="s">
        <v>72</v>
      </c>
      <c r="R52" s="8" t="s">
        <v>73</v>
      </c>
      <c r="S52" s="8" t="s">
        <v>74</v>
      </c>
      <c r="T52">
        <v>132</v>
      </c>
      <c r="U52">
        <v>144</v>
      </c>
      <c r="V52" s="8" t="s">
        <v>75</v>
      </c>
    </row>
    <row r="53" spans="2:22">
      <c r="C53" t="s">
        <v>24</v>
      </c>
      <c r="D53" t="s">
        <v>25</v>
      </c>
      <c r="E53" t="s">
        <v>26</v>
      </c>
      <c r="F53" t="s">
        <v>27</v>
      </c>
      <c r="G53" t="s">
        <v>28</v>
      </c>
      <c r="K53" s="9">
        <f>(F16-F4)/1</f>
        <v>6</v>
      </c>
      <c r="L53" s="9">
        <f>(F29-F16)/1.5</f>
        <v>0</v>
      </c>
      <c r="M53" s="9">
        <f>(F41-F29)/2</f>
        <v>2</v>
      </c>
      <c r="N53" s="9">
        <f>(F54-F41)/2.5</f>
        <v>0</v>
      </c>
      <c r="O53" s="9">
        <f>(F65-F54)/3</f>
        <v>0.33333333333333331</v>
      </c>
      <c r="P53" s="9">
        <f>(F76-F65)/3.5</f>
        <v>0</v>
      </c>
      <c r="Q53" s="9">
        <f>(F87-F76)/4</f>
        <v>0</v>
      </c>
      <c r="R53" s="9">
        <f>(F98-F87)/4.5</f>
        <v>0</v>
      </c>
      <c r="S53" s="9">
        <f>(F111-F98)/5</f>
        <v>0</v>
      </c>
      <c r="T53" s="9">
        <f>(F131-F121)/5.5</f>
        <v>0</v>
      </c>
      <c r="U53" s="9">
        <f>(F131-F121)/6</f>
        <v>0</v>
      </c>
      <c r="V53" s="9">
        <f>SUM(K53:U53)</f>
        <v>8.3333333333333339</v>
      </c>
    </row>
    <row r="54" spans="2:22">
      <c r="B54">
        <v>1</v>
      </c>
      <c r="C54">
        <v>9</v>
      </c>
      <c r="D54">
        <v>10</v>
      </c>
      <c r="E54">
        <v>9</v>
      </c>
      <c r="F54">
        <v>10</v>
      </c>
      <c r="G54">
        <v>11</v>
      </c>
      <c r="K54" s="9">
        <f t="shared" ref="K54:K58" si="36">(F17-F5)/1</f>
        <v>6</v>
      </c>
      <c r="L54" s="9">
        <f t="shared" ref="L54:L58" si="37">(F30-F17)/1.5</f>
        <v>0</v>
      </c>
      <c r="M54" s="9">
        <f t="shared" ref="M54:M58" si="38">(F42-F30)/2</f>
        <v>1</v>
      </c>
      <c r="N54" s="9">
        <f t="shared" ref="N54:N58" si="39">(F55-F42)/2.5</f>
        <v>0.4</v>
      </c>
      <c r="O54" s="9">
        <f t="shared" ref="O54:O58" si="40">(F66-F55)/3</f>
        <v>0</v>
      </c>
      <c r="P54" s="9">
        <f t="shared" ref="P54:P58" si="41">(F77-F66)/3.5</f>
        <v>0.2857142857142857</v>
      </c>
      <c r="Q54" s="9">
        <f t="shared" ref="Q54:Q58" si="42">(F88-F77)/4</f>
        <v>0</v>
      </c>
      <c r="R54" s="9">
        <f t="shared" ref="R54:R58" si="43">(F99-F88)/4.5</f>
        <v>0.22222222222222221</v>
      </c>
      <c r="S54" s="9">
        <f t="shared" ref="S54:S58" si="44">(F112-F99)/5</f>
        <v>0</v>
      </c>
      <c r="T54" s="9">
        <f t="shared" ref="T54:T58" si="45">(F132-F122)/5.5</f>
        <v>0.36363636363636365</v>
      </c>
      <c r="U54" s="9">
        <f t="shared" ref="U54:U58" si="46">(F132-F122)/6</f>
        <v>0.33333333333333331</v>
      </c>
      <c r="V54" s="9">
        <f t="shared" ref="V54:V58" si="47">SUM(K54:U54)</f>
        <v>8.6049062049062055</v>
      </c>
    </row>
    <row r="55" spans="2:22">
      <c r="B55">
        <v>2</v>
      </c>
      <c r="C55">
        <v>10</v>
      </c>
      <c r="D55">
        <v>10</v>
      </c>
      <c r="E55">
        <v>9</v>
      </c>
      <c r="F55">
        <v>9</v>
      </c>
      <c r="G55">
        <v>9</v>
      </c>
      <c r="K55" s="9">
        <f t="shared" si="36"/>
        <v>5</v>
      </c>
      <c r="L55" s="9">
        <f t="shared" si="37"/>
        <v>0</v>
      </c>
      <c r="M55" s="9">
        <f t="shared" si="38"/>
        <v>1</v>
      </c>
      <c r="N55" s="9">
        <f t="shared" si="39"/>
        <v>0.8</v>
      </c>
      <c r="O55" s="9">
        <f t="shared" si="40"/>
        <v>0</v>
      </c>
      <c r="P55" s="9">
        <f t="shared" si="41"/>
        <v>0</v>
      </c>
      <c r="Q55" s="9">
        <f t="shared" si="42"/>
        <v>0</v>
      </c>
      <c r="R55" s="9">
        <f t="shared" si="43"/>
        <v>0</v>
      </c>
      <c r="S55" s="9">
        <f t="shared" si="44"/>
        <v>0</v>
      </c>
      <c r="T55" s="9">
        <f>(F133-F123)/5.5</f>
        <v>0</v>
      </c>
      <c r="U55" s="9">
        <f t="shared" si="46"/>
        <v>0</v>
      </c>
      <c r="V55" s="9">
        <f t="shared" si="47"/>
        <v>6.8</v>
      </c>
    </row>
    <row r="56" spans="2:22">
      <c r="B56">
        <v>3</v>
      </c>
      <c r="C56">
        <v>10</v>
      </c>
      <c r="D56">
        <v>9</v>
      </c>
      <c r="E56">
        <v>10</v>
      </c>
      <c r="F56">
        <v>9</v>
      </c>
      <c r="G56">
        <v>9</v>
      </c>
      <c r="K56" s="9">
        <f t="shared" si="36"/>
        <v>5</v>
      </c>
      <c r="L56" s="9">
        <f t="shared" si="37"/>
        <v>0</v>
      </c>
      <c r="M56" s="9">
        <f t="shared" si="38"/>
        <v>2</v>
      </c>
      <c r="N56" s="9">
        <f t="shared" si="39"/>
        <v>0.8</v>
      </c>
      <c r="O56" s="9">
        <f>(F68-F57)/3</f>
        <v>0</v>
      </c>
      <c r="P56" s="9">
        <f>(F79-F68)/3.5</f>
        <v>0</v>
      </c>
      <c r="Q56" s="9">
        <f>(F90-F79)/4</f>
        <v>0</v>
      </c>
      <c r="R56" s="9">
        <f>(F101-F90)/4.5</f>
        <v>0</v>
      </c>
      <c r="S56" s="9">
        <f t="shared" si="44"/>
        <v>0</v>
      </c>
      <c r="T56" s="9">
        <f>(F134-F124)/5.5</f>
        <v>0</v>
      </c>
      <c r="U56" s="9">
        <f t="shared" si="46"/>
        <v>0</v>
      </c>
      <c r="V56" s="9">
        <f t="shared" si="47"/>
        <v>7.8</v>
      </c>
    </row>
    <row r="57" spans="2:22">
      <c r="B57">
        <v>4</v>
      </c>
      <c r="C57">
        <v>11</v>
      </c>
      <c r="D57">
        <v>8</v>
      </c>
      <c r="E57">
        <v>10</v>
      </c>
      <c r="F57">
        <v>11</v>
      </c>
      <c r="G57">
        <v>9</v>
      </c>
      <c r="K57" s="9">
        <f t="shared" si="36"/>
        <v>7</v>
      </c>
      <c r="L57" s="9">
        <f t="shared" si="37"/>
        <v>0</v>
      </c>
      <c r="M57" s="9">
        <f t="shared" si="38"/>
        <v>1.5</v>
      </c>
      <c r="N57" s="9">
        <f t="shared" si="39"/>
        <v>0.4</v>
      </c>
      <c r="O57" s="9">
        <f t="shared" si="40"/>
        <v>0</v>
      </c>
      <c r="P57" s="9">
        <f t="shared" si="41"/>
        <v>0</v>
      </c>
      <c r="Q57" s="9">
        <f t="shared" si="42"/>
        <v>0</v>
      </c>
      <c r="R57" s="9">
        <f t="shared" si="43"/>
        <v>0</v>
      </c>
      <c r="S57" s="9">
        <f t="shared" si="44"/>
        <v>0</v>
      </c>
      <c r="T57" s="9">
        <f t="shared" si="45"/>
        <v>0</v>
      </c>
      <c r="U57" s="9">
        <f t="shared" si="46"/>
        <v>0</v>
      </c>
      <c r="V57" s="9">
        <f t="shared" si="47"/>
        <v>8.9</v>
      </c>
    </row>
    <row r="58" spans="2:22">
      <c r="B58">
        <v>5</v>
      </c>
      <c r="C58">
        <v>9</v>
      </c>
      <c r="D58">
        <v>9</v>
      </c>
      <c r="E58">
        <v>10</v>
      </c>
      <c r="F58">
        <v>11</v>
      </c>
      <c r="G58">
        <v>10</v>
      </c>
      <c r="K58" s="9">
        <f t="shared" si="36"/>
        <v>6</v>
      </c>
      <c r="L58" s="9">
        <f t="shared" si="37"/>
        <v>0.66666666666666663</v>
      </c>
      <c r="M58" s="9">
        <f t="shared" si="38"/>
        <v>0</v>
      </c>
      <c r="N58" s="9">
        <f t="shared" si="39"/>
        <v>0.8</v>
      </c>
      <c r="O58" s="9">
        <f t="shared" si="40"/>
        <v>0.66666666666666663</v>
      </c>
      <c r="P58" s="9">
        <f t="shared" si="41"/>
        <v>0</v>
      </c>
      <c r="Q58" s="9">
        <f t="shared" si="42"/>
        <v>0</v>
      </c>
      <c r="R58" s="9">
        <f t="shared" si="43"/>
        <v>0</v>
      </c>
      <c r="S58" s="9">
        <f t="shared" si="44"/>
        <v>0</v>
      </c>
      <c r="T58" s="9">
        <f t="shared" si="45"/>
        <v>0</v>
      </c>
      <c r="U58" s="9">
        <f t="shared" si="46"/>
        <v>0</v>
      </c>
      <c r="V58" s="9">
        <f t="shared" si="47"/>
        <v>8.1333333333333329</v>
      </c>
    </row>
    <row r="59" spans="2:22">
      <c r="B59">
        <v>6</v>
      </c>
      <c r="C59">
        <v>10</v>
      </c>
      <c r="D59">
        <v>11</v>
      </c>
      <c r="E59">
        <v>10</v>
      </c>
      <c r="F59">
        <v>9</v>
      </c>
      <c r="G59">
        <v>8</v>
      </c>
      <c r="L59" s="9"/>
      <c r="U59" t="s">
        <v>20</v>
      </c>
      <c r="V59" s="10">
        <f>AVERAGE(V53:V58)</f>
        <v>8.0952621452621454</v>
      </c>
    </row>
    <row r="60" spans="2:22">
      <c r="B60" t="s">
        <v>29</v>
      </c>
      <c r="C60" s="2">
        <f>AVERAGE(C54:C59)</f>
        <v>9.8333333333333339</v>
      </c>
      <c r="D60" s="2">
        <f>AVERAGE(D54:D59)</f>
        <v>9.5</v>
      </c>
      <c r="E60" s="2">
        <f>AVERAGE(E54:E59)</f>
        <v>9.6666666666666661</v>
      </c>
      <c r="F60" s="2">
        <f>AVERAGE(F54:F59)</f>
        <v>9.8333333333333339</v>
      </c>
      <c r="G60" s="2">
        <f>AVERAGE(G54:G59)</f>
        <v>9.3333333333333339</v>
      </c>
      <c r="L60" s="9"/>
      <c r="U60" t="s">
        <v>21</v>
      </c>
      <c r="V60" s="10">
        <f>STDEV(V53:V58)</f>
        <v>0.73896564841719559</v>
      </c>
    </row>
    <row r="61" spans="2:22">
      <c r="L61" s="9"/>
      <c r="U61" t="s">
        <v>22</v>
      </c>
      <c r="V61" s="10">
        <f>CONFIDENCE(0.5,V60,6)</f>
        <v>0.20348105440036493</v>
      </c>
    </row>
    <row r="62" spans="2:22">
      <c r="K62" t="s">
        <v>13</v>
      </c>
    </row>
    <row r="63" spans="2:22">
      <c r="C63" t="s">
        <v>36</v>
      </c>
      <c r="K63" t="s">
        <v>77</v>
      </c>
      <c r="L63" s="8" t="s">
        <v>67</v>
      </c>
      <c r="M63" s="8" t="s">
        <v>68</v>
      </c>
      <c r="N63" s="8" t="s">
        <v>69</v>
      </c>
      <c r="O63" s="8" t="s">
        <v>70</v>
      </c>
      <c r="P63" s="8" t="s">
        <v>71</v>
      </c>
      <c r="Q63" s="8" t="s">
        <v>72</v>
      </c>
      <c r="R63" s="8" t="s">
        <v>73</v>
      </c>
      <c r="S63" s="8" t="s">
        <v>74</v>
      </c>
      <c r="T63">
        <v>132</v>
      </c>
      <c r="U63">
        <v>144</v>
      </c>
      <c r="V63" s="8" t="s">
        <v>75</v>
      </c>
    </row>
    <row r="64" spans="2:22">
      <c r="C64" t="s">
        <v>24</v>
      </c>
      <c r="D64" t="s">
        <v>25</v>
      </c>
      <c r="E64" t="s">
        <v>26</v>
      </c>
      <c r="F64" t="s">
        <v>27</v>
      </c>
      <c r="G64" t="s">
        <v>28</v>
      </c>
      <c r="K64" s="9">
        <f>(G16-G4)/1</f>
        <v>7</v>
      </c>
      <c r="L64" s="9">
        <f>(G29-G16)/1.5</f>
        <v>0</v>
      </c>
      <c r="M64" s="9">
        <f>(G41-G29)/2</f>
        <v>2</v>
      </c>
      <c r="N64" s="9">
        <f>(G54-G41)/2.5</f>
        <v>0</v>
      </c>
      <c r="O64" s="9">
        <f>(G65-G54)/3</f>
        <v>0</v>
      </c>
      <c r="P64" s="9">
        <f>(G76-G65)/3.5</f>
        <v>0</v>
      </c>
      <c r="Q64" s="9">
        <f>(G87-G76)/4</f>
        <v>0</v>
      </c>
      <c r="R64" s="9">
        <f>(G98-G87)/4.5</f>
        <v>0</v>
      </c>
      <c r="S64" s="9">
        <f>(G111-G98)/5</f>
        <v>0</v>
      </c>
      <c r="T64" s="9">
        <f>(G131-G121)/5.5</f>
        <v>0</v>
      </c>
      <c r="U64" s="9">
        <f>(G131-G121)/6</f>
        <v>0</v>
      </c>
      <c r="V64" s="9">
        <f>SUM(K64:U64)</f>
        <v>9</v>
      </c>
    </row>
    <row r="65" spans="2:22">
      <c r="B65">
        <v>1</v>
      </c>
      <c r="C65">
        <v>9</v>
      </c>
      <c r="D65">
        <v>10</v>
      </c>
      <c r="E65">
        <v>9</v>
      </c>
      <c r="F65">
        <v>11</v>
      </c>
      <c r="G65">
        <v>11</v>
      </c>
      <c r="K65" s="9">
        <f t="shared" ref="K65:K69" si="48">(G17-G5)/1</f>
        <v>4</v>
      </c>
      <c r="L65" s="9">
        <f t="shared" ref="L65:L69" si="49">(G30-G17)/1.5</f>
        <v>0</v>
      </c>
      <c r="M65" s="9">
        <f t="shared" ref="M65:M69" si="50">(G42-G30)/2</f>
        <v>2</v>
      </c>
      <c r="N65" s="9">
        <f t="shared" ref="N65:N69" si="51">(G55-G42)/2.5</f>
        <v>0.4</v>
      </c>
      <c r="O65" s="9">
        <f t="shared" ref="O65:O69" si="52">(G66-G55)/3</f>
        <v>0</v>
      </c>
      <c r="P65" s="9">
        <f t="shared" ref="P65:P69" si="53">(G77-G66)/3.5</f>
        <v>0</v>
      </c>
      <c r="Q65" s="9">
        <f t="shared" ref="Q65:Q69" si="54">(G88-G77)/4</f>
        <v>0.25</v>
      </c>
      <c r="R65" s="9">
        <f t="shared" ref="R65:R69" si="55">(G99-G88)/4.5</f>
        <v>0</v>
      </c>
      <c r="S65" s="9">
        <f>(G112-G99)/5</f>
        <v>0</v>
      </c>
      <c r="T65" s="9">
        <f t="shared" ref="T65:T69" si="56">(G132-G122)/5.5</f>
        <v>0</v>
      </c>
      <c r="U65" s="9">
        <f t="shared" ref="U65:U69" si="57">(G132-G122)/6</f>
        <v>0</v>
      </c>
      <c r="V65" s="9">
        <f t="shared" ref="V65:V69" si="58">SUM(K65:U65)</f>
        <v>6.65</v>
      </c>
    </row>
    <row r="66" spans="2:22">
      <c r="B66">
        <v>2</v>
      </c>
      <c r="C66">
        <v>10</v>
      </c>
      <c r="D66">
        <v>10</v>
      </c>
      <c r="E66">
        <v>9</v>
      </c>
      <c r="F66">
        <v>9</v>
      </c>
      <c r="G66">
        <v>9</v>
      </c>
      <c r="K66" s="9">
        <f t="shared" si="48"/>
        <v>8</v>
      </c>
      <c r="L66" s="9">
        <f t="shared" si="49"/>
        <v>0</v>
      </c>
      <c r="M66" s="9">
        <f t="shared" si="50"/>
        <v>0.5</v>
      </c>
      <c r="N66" s="9">
        <f t="shared" si="51"/>
        <v>0</v>
      </c>
      <c r="O66" s="9">
        <f t="shared" si="52"/>
        <v>0</v>
      </c>
      <c r="P66" s="9">
        <f t="shared" si="53"/>
        <v>0</v>
      </c>
      <c r="Q66" s="9">
        <f t="shared" si="54"/>
        <v>0.25</v>
      </c>
      <c r="R66" s="9">
        <f t="shared" si="55"/>
        <v>0</v>
      </c>
      <c r="S66" s="9">
        <f t="shared" ref="S66:S69" si="59">(G113-G100)/5</f>
        <v>0</v>
      </c>
      <c r="T66" s="9">
        <f t="shared" si="56"/>
        <v>0</v>
      </c>
      <c r="U66" s="9">
        <f t="shared" si="57"/>
        <v>0</v>
      </c>
      <c r="V66" s="9">
        <f t="shared" si="58"/>
        <v>8.75</v>
      </c>
    </row>
    <row r="67" spans="2:22">
      <c r="B67">
        <v>3</v>
      </c>
      <c r="C67">
        <v>10</v>
      </c>
      <c r="D67">
        <v>11</v>
      </c>
      <c r="E67">
        <v>10</v>
      </c>
      <c r="F67">
        <v>9</v>
      </c>
      <c r="G67">
        <v>9</v>
      </c>
      <c r="K67" s="9">
        <f t="shared" si="48"/>
        <v>7</v>
      </c>
      <c r="L67" s="9">
        <f t="shared" si="49"/>
        <v>0</v>
      </c>
      <c r="M67" s="9">
        <f t="shared" si="50"/>
        <v>1</v>
      </c>
      <c r="N67" s="9">
        <f t="shared" si="51"/>
        <v>0</v>
      </c>
      <c r="O67" s="9">
        <f t="shared" si="52"/>
        <v>0</v>
      </c>
      <c r="P67" s="9">
        <f t="shared" si="53"/>
        <v>0</v>
      </c>
      <c r="Q67" s="9">
        <f t="shared" si="54"/>
        <v>0</v>
      </c>
      <c r="R67" s="9">
        <f t="shared" si="55"/>
        <v>0</v>
      </c>
      <c r="S67" s="9">
        <f t="shared" si="59"/>
        <v>0</v>
      </c>
      <c r="T67" s="9">
        <f t="shared" si="56"/>
        <v>0</v>
      </c>
      <c r="U67" s="9">
        <f t="shared" si="57"/>
        <v>0</v>
      </c>
      <c r="V67" s="9">
        <f t="shared" si="58"/>
        <v>8</v>
      </c>
    </row>
    <row r="68" spans="2:22">
      <c r="B68">
        <v>4</v>
      </c>
      <c r="C68">
        <v>11</v>
      </c>
      <c r="D68">
        <v>9</v>
      </c>
      <c r="E68">
        <v>10</v>
      </c>
      <c r="F68">
        <v>11</v>
      </c>
      <c r="G68">
        <v>9</v>
      </c>
      <c r="K68" s="9">
        <f t="shared" si="48"/>
        <v>8</v>
      </c>
      <c r="L68" s="9">
        <f t="shared" si="49"/>
        <v>0</v>
      </c>
      <c r="M68" s="9">
        <f t="shared" si="50"/>
        <v>1</v>
      </c>
      <c r="N68" s="9">
        <f t="shared" si="51"/>
        <v>0</v>
      </c>
      <c r="O68" s="9">
        <f t="shared" si="52"/>
        <v>0</v>
      </c>
      <c r="P68" s="9">
        <f t="shared" si="53"/>
        <v>0</v>
      </c>
      <c r="Q68" s="9">
        <f t="shared" si="54"/>
        <v>0</v>
      </c>
      <c r="R68" s="9">
        <f t="shared" si="55"/>
        <v>0</v>
      </c>
      <c r="S68" s="9">
        <f t="shared" si="59"/>
        <v>0</v>
      </c>
      <c r="T68" s="9">
        <f t="shared" si="56"/>
        <v>0</v>
      </c>
      <c r="U68" s="9">
        <f t="shared" si="57"/>
        <v>0</v>
      </c>
      <c r="V68" s="9">
        <f t="shared" si="58"/>
        <v>9</v>
      </c>
    </row>
    <row r="69" spans="2:22">
      <c r="B69">
        <v>5</v>
      </c>
      <c r="C69">
        <v>10</v>
      </c>
      <c r="D69">
        <v>9</v>
      </c>
      <c r="E69">
        <v>10</v>
      </c>
      <c r="F69">
        <v>11</v>
      </c>
      <c r="G69">
        <v>10</v>
      </c>
      <c r="K69" s="9">
        <f t="shared" si="48"/>
        <v>5</v>
      </c>
      <c r="L69" s="9">
        <f t="shared" si="49"/>
        <v>0</v>
      </c>
      <c r="M69" s="9">
        <f t="shared" si="50"/>
        <v>1.5</v>
      </c>
      <c r="N69" s="9">
        <f t="shared" si="51"/>
        <v>0</v>
      </c>
      <c r="O69" s="9">
        <f t="shared" si="52"/>
        <v>0.33333333333333331</v>
      </c>
      <c r="P69" s="9">
        <f t="shared" si="53"/>
        <v>0</v>
      </c>
      <c r="Q69" s="9">
        <f t="shared" si="54"/>
        <v>0</v>
      </c>
      <c r="R69" s="9">
        <f t="shared" si="55"/>
        <v>0.22222222222222221</v>
      </c>
      <c r="S69" s="9">
        <f t="shared" si="59"/>
        <v>0</v>
      </c>
      <c r="T69" s="9">
        <f t="shared" si="56"/>
        <v>0</v>
      </c>
      <c r="U69" s="9">
        <f t="shared" si="57"/>
        <v>0</v>
      </c>
      <c r="V69" s="9">
        <f t="shared" si="58"/>
        <v>7.0555555555555554</v>
      </c>
    </row>
    <row r="70" spans="2:22">
      <c r="B70">
        <v>6</v>
      </c>
      <c r="C70">
        <v>10</v>
      </c>
      <c r="D70">
        <v>11</v>
      </c>
      <c r="E70">
        <v>10</v>
      </c>
      <c r="F70">
        <v>11</v>
      </c>
      <c r="G70">
        <v>9</v>
      </c>
      <c r="L70" s="9"/>
      <c r="U70" t="s">
        <v>20</v>
      </c>
      <c r="V70" s="10">
        <f>AVERAGE(V64:V69)</f>
        <v>8.075925925925926</v>
      </c>
    </row>
    <row r="71" spans="2:22">
      <c r="B71" t="s">
        <v>29</v>
      </c>
      <c r="C71">
        <f>AVERAGE(C65:C70)</f>
        <v>10</v>
      </c>
      <c r="D71">
        <f>AVERAGE(D65:D70)</f>
        <v>10</v>
      </c>
      <c r="E71" s="2">
        <f>AVERAGE(E65:E70)</f>
        <v>9.6666666666666661</v>
      </c>
      <c r="F71" s="2">
        <f>AVERAGE(F65:F70)</f>
        <v>10.333333333333334</v>
      </c>
      <c r="G71" s="2">
        <f>AVERAGE(G65:G70)</f>
        <v>9.5</v>
      </c>
      <c r="L71" s="9"/>
      <c r="U71" t="s">
        <v>21</v>
      </c>
      <c r="V71" s="10">
        <f>STDEV(V64:V69)</f>
        <v>1.0239518378591455</v>
      </c>
    </row>
    <row r="72" spans="2:22">
      <c r="L72" s="9"/>
      <c r="U72" t="s">
        <v>22</v>
      </c>
      <c r="V72" s="10">
        <f>CONFIDENCE(0.5,V71,6)</f>
        <v>0.28195464845903118</v>
      </c>
    </row>
    <row r="74" spans="2:22">
      <c r="C74" t="s">
        <v>37</v>
      </c>
    </row>
    <row r="75" spans="2:22">
      <c r="C75" t="s">
        <v>24</v>
      </c>
      <c r="D75" t="s">
        <v>25</v>
      </c>
      <c r="E75" t="s">
        <v>26</v>
      </c>
      <c r="F75" t="s">
        <v>27</v>
      </c>
      <c r="G75" t="s">
        <v>28</v>
      </c>
    </row>
    <row r="76" spans="2:22">
      <c r="B76">
        <v>1</v>
      </c>
      <c r="C76">
        <v>9</v>
      </c>
      <c r="D76">
        <v>10</v>
      </c>
      <c r="E76">
        <v>10</v>
      </c>
      <c r="F76">
        <v>11</v>
      </c>
      <c r="G76">
        <v>11</v>
      </c>
    </row>
    <row r="77" spans="2:22">
      <c r="B77">
        <v>2</v>
      </c>
      <c r="C77">
        <v>10</v>
      </c>
      <c r="D77">
        <v>11</v>
      </c>
      <c r="E77">
        <v>9</v>
      </c>
      <c r="F77">
        <v>10</v>
      </c>
      <c r="G77">
        <v>9</v>
      </c>
    </row>
    <row r="78" spans="2:22">
      <c r="B78">
        <v>3</v>
      </c>
      <c r="C78">
        <v>11</v>
      </c>
      <c r="D78">
        <v>12</v>
      </c>
      <c r="E78">
        <v>10</v>
      </c>
      <c r="F78">
        <v>9</v>
      </c>
      <c r="G78">
        <v>9</v>
      </c>
    </row>
    <row r="79" spans="2:22">
      <c r="B79">
        <v>4</v>
      </c>
      <c r="C79">
        <v>11</v>
      </c>
      <c r="D79">
        <v>10</v>
      </c>
      <c r="E79">
        <v>10</v>
      </c>
      <c r="F79">
        <v>11</v>
      </c>
      <c r="G79">
        <v>9</v>
      </c>
    </row>
    <row r="80" spans="2:22">
      <c r="B80">
        <v>5</v>
      </c>
      <c r="C80">
        <v>10</v>
      </c>
      <c r="D80">
        <v>10</v>
      </c>
      <c r="E80">
        <v>10</v>
      </c>
      <c r="F80">
        <v>11</v>
      </c>
      <c r="G80">
        <v>10</v>
      </c>
    </row>
    <row r="81" spans="2:7">
      <c r="B81">
        <v>6</v>
      </c>
      <c r="C81">
        <v>10</v>
      </c>
      <c r="D81">
        <v>11</v>
      </c>
      <c r="E81">
        <v>11</v>
      </c>
      <c r="F81">
        <v>11</v>
      </c>
      <c r="G81">
        <v>9</v>
      </c>
    </row>
    <row r="82" spans="2:7">
      <c r="B82" t="s">
        <v>29</v>
      </c>
      <c r="C82" s="2">
        <f>AVERAGE(C76:C81)</f>
        <v>10.166666666666666</v>
      </c>
      <c r="D82" s="2">
        <f>AVERAGE(D76:D81)</f>
        <v>10.666666666666666</v>
      </c>
      <c r="E82" s="2">
        <f>AVERAGE(E76:E81)</f>
        <v>10</v>
      </c>
      <c r="F82" s="2">
        <f>AVERAGE(F76:F81)</f>
        <v>10.5</v>
      </c>
      <c r="G82" s="2">
        <f>AVERAGE(G76:G81)</f>
        <v>9.5</v>
      </c>
    </row>
    <row r="85" spans="2:7">
      <c r="C85" t="s">
        <v>38</v>
      </c>
    </row>
    <row r="86" spans="2:7">
      <c r="C86" t="s">
        <v>39</v>
      </c>
      <c r="D86" t="s">
        <v>25</v>
      </c>
      <c r="E86" t="s">
        <v>26</v>
      </c>
      <c r="F86" t="s">
        <v>27</v>
      </c>
      <c r="G86" t="s">
        <v>28</v>
      </c>
    </row>
    <row r="87" spans="2:7">
      <c r="B87">
        <v>1</v>
      </c>
      <c r="C87">
        <v>9</v>
      </c>
      <c r="D87">
        <v>10</v>
      </c>
      <c r="E87">
        <v>11</v>
      </c>
      <c r="F87">
        <v>11</v>
      </c>
      <c r="G87">
        <v>11</v>
      </c>
    </row>
    <row r="88" spans="2:7">
      <c r="B88">
        <v>2</v>
      </c>
      <c r="C88">
        <v>10</v>
      </c>
      <c r="D88">
        <v>11</v>
      </c>
      <c r="E88">
        <v>9</v>
      </c>
      <c r="F88">
        <v>10</v>
      </c>
      <c r="G88">
        <v>10</v>
      </c>
    </row>
    <row r="89" spans="2:7">
      <c r="B89">
        <v>3</v>
      </c>
      <c r="C89">
        <v>12</v>
      </c>
      <c r="D89">
        <v>12</v>
      </c>
      <c r="E89">
        <v>10</v>
      </c>
      <c r="F89">
        <v>9</v>
      </c>
      <c r="G89">
        <v>10</v>
      </c>
    </row>
    <row r="90" spans="2:7">
      <c r="B90">
        <v>4</v>
      </c>
      <c r="C90">
        <v>11</v>
      </c>
      <c r="D90">
        <v>10</v>
      </c>
      <c r="E90">
        <v>10</v>
      </c>
      <c r="F90">
        <v>11</v>
      </c>
      <c r="G90">
        <v>9</v>
      </c>
    </row>
    <row r="91" spans="2:7">
      <c r="B91">
        <v>5</v>
      </c>
      <c r="C91">
        <v>11</v>
      </c>
      <c r="D91">
        <v>10</v>
      </c>
      <c r="E91">
        <v>11</v>
      </c>
      <c r="F91">
        <v>11</v>
      </c>
      <c r="G91">
        <v>10</v>
      </c>
    </row>
    <row r="92" spans="2:7">
      <c r="B92">
        <v>6</v>
      </c>
      <c r="C92">
        <v>11</v>
      </c>
      <c r="D92">
        <v>11</v>
      </c>
      <c r="E92">
        <v>11</v>
      </c>
      <c r="F92">
        <v>11</v>
      </c>
      <c r="G92">
        <v>9</v>
      </c>
    </row>
    <row r="93" spans="2:7">
      <c r="B93" t="s">
        <v>29</v>
      </c>
      <c r="C93" s="2">
        <f>AVERAGE(C87:C92)</f>
        <v>10.666666666666666</v>
      </c>
      <c r="D93" s="2">
        <f>AVERAGE(D87:D92)</f>
        <v>10.666666666666666</v>
      </c>
      <c r="E93" s="2">
        <f>AVERAGE(E87:E92)</f>
        <v>10.333333333333334</v>
      </c>
      <c r="F93" s="2">
        <f>AVERAGE(F87:F92)</f>
        <v>10.5</v>
      </c>
      <c r="G93" s="2">
        <f>AVERAGE(G87:G92)</f>
        <v>9.8333333333333339</v>
      </c>
    </row>
    <row r="94" spans="2:7">
      <c r="B94" t="s">
        <v>30</v>
      </c>
      <c r="C94" s="1">
        <f>STDEV(C87:C92)</f>
        <v>1.0327955589886482</v>
      </c>
      <c r="D94" s="1">
        <f>STDEV(D87:D92)</f>
        <v>0.8164965809277307</v>
      </c>
      <c r="E94" s="1">
        <f>STDEV(E87:E92)</f>
        <v>0.8164965809277307</v>
      </c>
      <c r="F94" s="1">
        <f>STDEV(F87:F92)</f>
        <v>0.83666002653407556</v>
      </c>
      <c r="G94" s="1">
        <f>STDEV(G87:G92)</f>
        <v>0.752772652709086</v>
      </c>
    </row>
    <row r="95" spans="2:7">
      <c r="B95" t="s">
        <v>40</v>
      </c>
      <c r="C95" s="1">
        <f>CONFIDENCE(0.5,C94,6)</f>
        <v>0.28438984920768368</v>
      </c>
      <c r="D95" s="1">
        <f>CONFIDENCE(0.5,D94,6)</f>
        <v>0.22482991673202848</v>
      </c>
      <c r="E95" s="1">
        <f>CONFIDENCE(0.5,E94,6)</f>
        <v>0.22482991673202848</v>
      </c>
      <c r="F95" s="1">
        <f>CONFIDENCE(0.5,F94,6)</f>
        <v>0.23038210874678791</v>
      </c>
      <c r="G95" s="1">
        <f>CONFIDENCE(0.5,G94,6)</f>
        <v>0.20728294126403968</v>
      </c>
    </row>
    <row r="96" spans="2:7">
      <c r="C96" t="s">
        <v>41</v>
      </c>
    </row>
    <row r="97" spans="2:7">
      <c r="C97" t="s">
        <v>39</v>
      </c>
      <c r="D97" t="s">
        <v>25</v>
      </c>
      <c r="E97" t="s">
        <v>26</v>
      </c>
      <c r="F97" t="s">
        <v>27</v>
      </c>
      <c r="G97" t="s">
        <v>28</v>
      </c>
    </row>
    <row r="98" spans="2:7">
      <c r="B98">
        <v>1</v>
      </c>
      <c r="C98">
        <v>9</v>
      </c>
      <c r="D98">
        <v>10</v>
      </c>
      <c r="E98">
        <v>11</v>
      </c>
      <c r="F98">
        <v>11</v>
      </c>
      <c r="G98">
        <v>11</v>
      </c>
    </row>
    <row r="99" spans="2:7">
      <c r="B99">
        <v>2</v>
      </c>
      <c r="C99">
        <v>10</v>
      </c>
      <c r="D99">
        <v>11</v>
      </c>
      <c r="E99">
        <v>9</v>
      </c>
      <c r="F99">
        <v>11</v>
      </c>
      <c r="G99">
        <v>10</v>
      </c>
    </row>
    <row r="100" spans="2:7">
      <c r="B100">
        <v>3</v>
      </c>
      <c r="C100">
        <v>12</v>
      </c>
      <c r="D100">
        <v>12</v>
      </c>
      <c r="E100">
        <v>10</v>
      </c>
      <c r="F100">
        <v>9</v>
      </c>
      <c r="G100">
        <v>10</v>
      </c>
    </row>
    <row r="101" spans="2:7">
      <c r="B101">
        <v>4</v>
      </c>
      <c r="C101">
        <v>11</v>
      </c>
      <c r="D101">
        <v>10</v>
      </c>
      <c r="E101">
        <v>10</v>
      </c>
      <c r="F101">
        <v>11</v>
      </c>
      <c r="G101">
        <v>9</v>
      </c>
    </row>
    <row r="102" spans="2:7">
      <c r="B102">
        <v>5</v>
      </c>
      <c r="C102">
        <v>11</v>
      </c>
      <c r="D102">
        <v>10</v>
      </c>
      <c r="E102">
        <v>11</v>
      </c>
      <c r="F102">
        <v>11</v>
      </c>
      <c r="G102">
        <v>10</v>
      </c>
    </row>
    <row r="103" spans="2:7">
      <c r="B103">
        <v>6</v>
      </c>
      <c r="C103">
        <v>11</v>
      </c>
      <c r="D103">
        <v>11</v>
      </c>
      <c r="E103">
        <v>11</v>
      </c>
      <c r="F103">
        <v>11</v>
      </c>
      <c r="G103">
        <v>10</v>
      </c>
    </row>
    <row r="104" spans="2:7">
      <c r="B104" t="s">
        <v>33</v>
      </c>
      <c r="C104" s="2">
        <f>AVERAGE(C98:C103)</f>
        <v>10.666666666666666</v>
      </c>
      <c r="D104" s="2">
        <f>AVERAGE(D98:D103)</f>
        <v>10.666666666666666</v>
      </c>
      <c r="E104" s="2">
        <f>AVERAGE(E98:E103)</f>
        <v>10.333333333333334</v>
      </c>
      <c r="F104" s="2">
        <f>AVERAGE(F98:F103)</f>
        <v>10.666666666666666</v>
      </c>
      <c r="G104" s="2">
        <f>AVERAGE(G98:G103)</f>
        <v>10</v>
      </c>
    </row>
    <row r="109" spans="2:7">
      <c r="C109" t="s">
        <v>42</v>
      </c>
    </row>
    <row r="110" spans="2:7">
      <c r="C110" t="s">
        <v>24</v>
      </c>
      <c r="D110" t="s">
        <v>25</v>
      </c>
      <c r="E110" t="s">
        <v>26</v>
      </c>
      <c r="F110" t="s">
        <v>27</v>
      </c>
      <c r="G110" t="s">
        <v>28</v>
      </c>
    </row>
    <row r="111" spans="2:7">
      <c r="B111">
        <v>1</v>
      </c>
      <c r="C111">
        <v>9</v>
      </c>
      <c r="D111">
        <v>10</v>
      </c>
      <c r="E111">
        <v>11</v>
      </c>
      <c r="F111">
        <v>11</v>
      </c>
      <c r="G111">
        <v>11</v>
      </c>
    </row>
    <row r="112" spans="2:7">
      <c r="B112">
        <v>2</v>
      </c>
      <c r="C112">
        <v>10</v>
      </c>
      <c r="D112">
        <v>11</v>
      </c>
      <c r="E112">
        <v>9</v>
      </c>
      <c r="F112">
        <v>11</v>
      </c>
      <c r="G112">
        <v>10</v>
      </c>
    </row>
    <row r="113" spans="2:7">
      <c r="B113">
        <v>3</v>
      </c>
      <c r="C113">
        <v>12</v>
      </c>
      <c r="D113">
        <v>12</v>
      </c>
      <c r="E113">
        <v>10</v>
      </c>
      <c r="F113">
        <v>9</v>
      </c>
      <c r="G113">
        <v>10</v>
      </c>
    </row>
    <row r="114" spans="2:7">
      <c r="B114">
        <v>4</v>
      </c>
      <c r="C114">
        <v>11</v>
      </c>
      <c r="D114">
        <v>10</v>
      </c>
      <c r="E114">
        <v>10</v>
      </c>
      <c r="F114">
        <v>11</v>
      </c>
      <c r="G114">
        <v>9</v>
      </c>
    </row>
    <row r="115" spans="2:7">
      <c r="B115">
        <v>5</v>
      </c>
      <c r="C115">
        <v>11</v>
      </c>
      <c r="D115">
        <v>10</v>
      </c>
      <c r="E115">
        <v>11</v>
      </c>
      <c r="F115">
        <v>11</v>
      </c>
      <c r="G115">
        <v>10</v>
      </c>
    </row>
    <row r="116" spans="2:7">
      <c r="B116">
        <v>6</v>
      </c>
      <c r="C116">
        <v>11</v>
      </c>
      <c r="D116">
        <v>11</v>
      </c>
      <c r="E116">
        <v>11</v>
      </c>
      <c r="F116">
        <v>11</v>
      </c>
      <c r="G116">
        <v>10</v>
      </c>
    </row>
    <row r="117" spans="2:7">
      <c r="B117" t="s">
        <v>29</v>
      </c>
      <c r="C117" s="2">
        <f>AVERAGE(C111:C116)</f>
        <v>10.666666666666666</v>
      </c>
      <c r="D117" s="2">
        <f>AVERAGE(D111:D116)</f>
        <v>10.666666666666666</v>
      </c>
      <c r="E117" s="2">
        <f>AVERAGE(E111:E116)</f>
        <v>10.333333333333334</v>
      </c>
      <c r="F117" s="2">
        <f>AVERAGE(F111:F116)</f>
        <v>10.666666666666666</v>
      </c>
      <c r="G117" s="2">
        <f>AVERAGE(G111:G116)</f>
        <v>10</v>
      </c>
    </row>
    <row r="119" spans="2:7">
      <c r="C119" t="s">
        <v>43</v>
      </c>
    </row>
    <row r="120" spans="2:7">
      <c r="C120" t="s">
        <v>24</v>
      </c>
      <c r="D120" t="s">
        <v>25</v>
      </c>
      <c r="E120" t="s">
        <v>26</v>
      </c>
      <c r="F120" t="s">
        <v>27</v>
      </c>
      <c r="G120" t="s">
        <v>28</v>
      </c>
    </row>
    <row r="121" spans="2:7">
      <c r="B121">
        <v>1</v>
      </c>
      <c r="C121">
        <v>9</v>
      </c>
      <c r="D121">
        <v>10</v>
      </c>
      <c r="E121">
        <v>11</v>
      </c>
      <c r="F121">
        <v>11</v>
      </c>
      <c r="G121">
        <v>11</v>
      </c>
    </row>
    <row r="122" spans="2:7">
      <c r="B122">
        <v>2</v>
      </c>
      <c r="C122">
        <v>10</v>
      </c>
      <c r="D122">
        <v>11</v>
      </c>
      <c r="E122">
        <v>9</v>
      </c>
      <c r="F122">
        <v>9</v>
      </c>
      <c r="G122">
        <v>10</v>
      </c>
    </row>
    <row r="123" spans="2:7">
      <c r="B123">
        <v>3</v>
      </c>
      <c r="C123">
        <v>12</v>
      </c>
      <c r="D123">
        <v>12</v>
      </c>
      <c r="E123">
        <v>10</v>
      </c>
      <c r="F123">
        <v>10</v>
      </c>
      <c r="G123">
        <v>10</v>
      </c>
    </row>
    <row r="124" spans="2:7">
      <c r="B124">
        <v>4</v>
      </c>
      <c r="C124">
        <v>11</v>
      </c>
      <c r="D124">
        <v>10</v>
      </c>
      <c r="E124">
        <v>10</v>
      </c>
      <c r="F124">
        <v>11</v>
      </c>
      <c r="G124">
        <v>9</v>
      </c>
    </row>
    <row r="125" spans="2:7">
      <c r="B125">
        <v>5</v>
      </c>
      <c r="C125">
        <v>11</v>
      </c>
      <c r="D125">
        <v>10</v>
      </c>
      <c r="E125">
        <v>11</v>
      </c>
      <c r="F125">
        <v>11</v>
      </c>
      <c r="G125">
        <v>10</v>
      </c>
    </row>
    <row r="126" spans="2:7">
      <c r="B126">
        <v>6</v>
      </c>
      <c r="C126">
        <v>11</v>
      </c>
      <c r="D126">
        <v>11</v>
      </c>
      <c r="E126">
        <v>11</v>
      </c>
      <c r="F126">
        <v>11</v>
      </c>
      <c r="G126">
        <v>10</v>
      </c>
    </row>
    <row r="127" spans="2:7">
      <c r="B127" t="s">
        <v>29</v>
      </c>
      <c r="C127" s="2">
        <f>AVERAGE(C121:C126)</f>
        <v>10.666666666666666</v>
      </c>
      <c r="D127" s="2">
        <f>AVERAGE(D121:D126)</f>
        <v>10.666666666666666</v>
      </c>
      <c r="E127" s="2">
        <f>AVERAGE(E121:E126)</f>
        <v>10.333333333333334</v>
      </c>
      <c r="F127" s="2">
        <f>AVERAGE(F121:F126)</f>
        <v>10.5</v>
      </c>
      <c r="G127">
        <f>AVERAGE(G121:G126)</f>
        <v>10</v>
      </c>
    </row>
    <row r="129" spans="2:7">
      <c r="C129" t="s">
        <v>44</v>
      </c>
    </row>
    <row r="130" spans="2:7">
      <c r="C130" t="s">
        <v>24</v>
      </c>
      <c r="D130" t="s">
        <v>25</v>
      </c>
      <c r="E130" t="s">
        <v>26</v>
      </c>
      <c r="F130" t="s">
        <v>27</v>
      </c>
      <c r="G130" t="s">
        <v>28</v>
      </c>
    </row>
    <row r="131" spans="2:7">
      <c r="B131">
        <v>1</v>
      </c>
      <c r="C131">
        <v>9</v>
      </c>
      <c r="D131">
        <v>10</v>
      </c>
      <c r="E131">
        <v>11</v>
      </c>
      <c r="F131">
        <v>11</v>
      </c>
      <c r="G131">
        <v>11</v>
      </c>
    </row>
    <row r="132" spans="2:7">
      <c r="B132">
        <v>2</v>
      </c>
      <c r="C132">
        <v>10</v>
      </c>
      <c r="D132">
        <v>11</v>
      </c>
      <c r="E132">
        <v>9</v>
      </c>
      <c r="F132">
        <v>11</v>
      </c>
      <c r="G132">
        <v>10</v>
      </c>
    </row>
    <row r="133" spans="2:7">
      <c r="B133">
        <v>3</v>
      </c>
      <c r="C133">
        <v>12</v>
      </c>
      <c r="D133">
        <v>12</v>
      </c>
      <c r="E133">
        <v>10</v>
      </c>
      <c r="F133">
        <v>10</v>
      </c>
      <c r="G133">
        <v>10</v>
      </c>
    </row>
    <row r="134" spans="2:7">
      <c r="B134">
        <v>4</v>
      </c>
      <c r="C134">
        <v>11</v>
      </c>
      <c r="D134">
        <v>10</v>
      </c>
      <c r="E134">
        <v>10</v>
      </c>
      <c r="F134">
        <v>11</v>
      </c>
      <c r="G134">
        <v>9</v>
      </c>
    </row>
    <row r="135" spans="2:7">
      <c r="B135">
        <v>5</v>
      </c>
      <c r="C135">
        <v>11</v>
      </c>
      <c r="D135">
        <v>10</v>
      </c>
      <c r="E135">
        <v>11</v>
      </c>
      <c r="F135">
        <v>11</v>
      </c>
      <c r="G135">
        <v>10</v>
      </c>
    </row>
    <row r="136" spans="2:7">
      <c r="B136">
        <v>6</v>
      </c>
      <c r="C136">
        <v>11</v>
      </c>
      <c r="D136">
        <v>11</v>
      </c>
      <c r="E136">
        <v>11</v>
      </c>
      <c r="F136">
        <v>11</v>
      </c>
      <c r="G136">
        <v>10</v>
      </c>
    </row>
    <row r="137" spans="2:7">
      <c r="B137" t="s">
        <v>33</v>
      </c>
      <c r="C137" s="2">
        <f>AVERAGE(C131:C136)</f>
        <v>10.666666666666666</v>
      </c>
      <c r="D137" s="2">
        <f>AVERAGE(D131:D136)</f>
        <v>10.666666666666666</v>
      </c>
      <c r="E137" s="2">
        <f>AVERAGE(E131:E136)</f>
        <v>10.333333333333334</v>
      </c>
      <c r="F137" s="2">
        <f>AVERAGE(F131:F136)</f>
        <v>10.833333333333334</v>
      </c>
      <c r="G137" s="2">
        <f>AVERAGE(G131:G136)</f>
        <v>10</v>
      </c>
    </row>
    <row r="138" spans="2:7">
      <c r="B138" t="s">
        <v>30</v>
      </c>
      <c r="C138" s="1">
        <f>STDEV(C131:C136)</f>
        <v>1.0327955589886482</v>
      </c>
      <c r="D138" s="1">
        <f>STDEV(D131:D136)</f>
        <v>0.8164965809277307</v>
      </c>
      <c r="E138" s="1">
        <f>STDEV(E131:E136)</f>
        <v>0.8164965809277307</v>
      </c>
      <c r="F138" s="1">
        <f>STDEV(F131:F136)</f>
        <v>0.40824829046387229</v>
      </c>
      <c r="G138" s="1">
        <f>STDEV(G131:G136)</f>
        <v>0.63245553203367588</v>
      </c>
    </row>
    <row r="139" spans="2:7">
      <c r="B139" t="s">
        <v>45</v>
      </c>
      <c r="C139" s="1">
        <f t="shared" ref="C139:G139" si="60">CONFIDENCE(0.5,C138,6)</f>
        <v>0.28438984920768368</v>
      </c>
      <c r="D139" s="1">
        <f t="shared" si="60"/>
        <v>0.22482991673202848</v>
      </c>
      <c r="E139" s="1">
        <f t="shared" si="60"/>
        <v>0.22482991673202848</v>
      </c>
      <c r="F139" s="1">
        <f t="shared" si="60"/>
        <v>0.11241495836601616</v>
      </c>
      <c r="G139" s="1">
        <f t="shared" si="60"/>
        <v>0.17415250464646834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AH139"/>
  <sheetViews>
    <sheetView tabSelected="1" topLeftCell="X19" workbookViewId="0">
      <selection activeCell="AG34" sqref="AG34"/>
    </sheetView>
  </sheetViews>
  <sheetFormatPr baseColWidth="10" defaultColWidth="9.140625" defaultRowHeight="15"/>
  <cols>
    <col min="22" max="22" width="10" customWidth="1"/>
    <col min="23" max="23" width="14.85546875" customWidth="1"/>
  </cols>
  <sheetData>
    <row r="2" spans="2:29">
      <c r="C2" t="s">
        <v>8</v>
      </c>
    </row>
    <row r="3" spans="2:29"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2:29">
      <c r="C4">
        <v>0</v>
      </c>
      <c r="D4">
        <v>0</v>
      </c>
      <c r="E4">
        <v>0</v>
      </c>
      <c r="F4">
        <v>0</v>
      </c>
      <c r="G4">
        <v>0</v>
      </c>
    </row>
    <row r="5" spans="2:29">
      <c r="C5">
        <v>0</v>
      </c>
      <c r="D5">
        <v>0</v>
      </c>
      <c r="E5">
        <v>0</v>
      </c>
      <c r="F5">
        <v>0</v>
      </c>
      <c r="G5">
        <v>0</v>
      </c>
    </row>
    <row r="6" spans="2:29">
      <c r="C6">
        <v>0</v>
      </c>
      <c r="D6">
        <v>0</v>
      </c>
      <c r="E6">
        <v>0</v>
      </c>
      <c r="F6">
        <v>0</v>
      </c>
      <c r="G6">
        <v>0</v>
      </c>
    </row>
    <row r="7" spans="2:29">
      <c r="C7">
        <v>0</v>
      </c>
      <c r="D7">
        <v>0</v>
      </c>
      <c r="E7">
        <v>0</v>
      </c>
      <c r="F7">
        <v>0</v>
      </c>
      <c r="G7">
        <v>0</v>
      </c>
    </row>
    <row r="8" spans="2:29">
      <c r="C8">
        <v>0</v>
      </c>
      <c r="D8">
        <v>0</v>
      </c>
      <c r="E8">
        <v>0</v>
      </c>
      <c r="F8">
        <v>0</v>
      </c>
      <c r="G8">
        <v>0</v>
      </c>
      <c r="Y8" t="s">
        <v>90</v>
      </c>
    </row>
    <row r="9" spans="2:29">
      <c r="C9">
        <v>0</v>
      </c>
      <c r="D9">
        <v>0</v>
      </c>
      <c r="E9">
        <v>0</v>
      </c>
      <c r="F9">
        <v>0</v>
      </c>
      <c r="G9">
        <v>0</v>
      </c>
    </row>
    <row r="10" spans="2:29">
      <c r="C10">
        <v>0</v>
      </c>
      <c r="D10">
        <v>0</v>
      </c>
      <c r="E10">
        <v>0</v>
      </c>
      <c r="F10">
        <v>0</v>
      </c>
      <c r="G10">
        <v>0</v>
      </c>
      <c r="Y10" s="11" t="s">
        <v>79</v>
      </c>
      <c r="Z10" s="8" t="s">
        <v>80</v>
      </c>
      <c r="AA10" s="8" t="s">
        <v>81</v>
      </c>
      <c r="AB10" s="8" t="s">
        <v>82</v>
      </c>
      <c r="AC10" s="8" t="s">
        <v>83</v>
      </c>
    </row>
    <row r="11" spans="2:29">
      <c r="C11">
        <v>0</v>
      </c>
      <c r="D11">
        <v>0</v>
      </c>
      <c r="E11">
        <v>0</v>
      </c>
      <c r="F11">
        <v>0</v>
      </c>
      <c r="G11">
        <v>0</v>
      </c>
      <c r="X11" t="s">
        <v>33</v>
      </c>
      <c r="Y11">
        <v>1.6931818181818181</v>
      </c>
      <c r="Z11">
        <v>1.841540404040404</v>
      </c>
      <c r="AA11">
        <v>1.5157407407407408</v>
      </c>
      <c r="AB11">
        <v>1.9378787878787878</v>
      </c>
      <c r="AC11">
        <v>1.4809764309764308</v>
      </c>
    </row>
    <row r="12" spans="2:29">
      <c r="C12" s="1"/>
      <c r="D12" s="1"/>
      <c r="E12" s="1"/>
      <c r="F12" s="1"/>
      <c r="G12" s="1"/>
      <c r="K12" s="8" t="s">
        <v>86</v>
      </c>
      <c r="N12" s="8"/>
      <c r="Q12" s="12" t="s">
        <v>87</v>
      </c>
      <c r="X12" t="s">
        <v>78</v>
      </c>
      <c r="Y12">
        <v>7.0157854461819991E-2</v>
      </c>
      <c r="Z12">
        <v>2.4336108764904722E-2</v>
      </c>
      <c r="AA12">
        <v>5.7089921789097033E-2</v>
      </c>
      <c r="AB12">
        <v>0.27387799679383273</v>
      </c>
      <c r="AC12">
        <v>8.1553235806111832E-2</v>
      </c>
    </row>
    <row r="14" spans="2:29">
      <c r="C14" t="s">
        <v>8</v>
      </c>
      <c r="K14" s="8" t="s">
        <v>9</v>
      </c>
      <c r="X14" t="s">
        <v>91</v>
      </c>
    </row>
    <row r="15" spans="2:29">
      <c r="C15" t="s">
        <v>9</v>
      </c>
      <c r="D15" t="s">
        <v>10</v>
      </c>
      <c r="E15" t="s">
        <v>11</v>
      </c>
      <c r="F15" t="s">
        <v>12</v>
      </c>
      <c r="G15" t="s">
        <v>13</v>
      </c>
      <c r="K15" t="s">
        <v>77</v>
      </c>
      <c r="L15" s="8" t="s">
        <v>67</v>
      </c>
      <c r="M15" s="8" t="s">
        <v>68</v>
      </c>
      <c r="N15" s="8" t="s">
        <v>69</v>
      </c>
      <c r="O15" s="8" t="s">
        <v>70</v>
      </c>
      <c r="P15" s="8" t="s">
        <v>71</v>
      </c>
      <c r="Q15" s="8" t="s">
        <v>72</v>
      </c>
      <c r="R15" s="8" t="s">
        <v>73</v>
      </c>
      <c r="S15" s="8" t="s">
        <v>74</v>
      </c>
      <c r="T15">
        <v>132</v>
      </c>
      <c r="U15">
        <v>144</v>
      </c>
      <c r="V15" s="8" t="s">
        <v>75</v>
      </c>
      <c r="W15" s="8" t="s">
        <v>88</v>
      </c>
      <c r="X15" s="8" t="s">
        <v>89</v>
      </c>
    </row>
    <row r="16" spans="2:29">
      <c r="B16" t="s">
        <v>14</v>
      </c>
      <c r="C16">
        <v>6</v>
      </c>
      <c r="D16">
        <v>3</v>
      </c>
      <c r="E16">
        <v>6</v>
      </c>
      <c r="F16">
        <v>6</v>
      </c>
      <c r="G16">
        <v>7</v>
      </c>
      <c r="K16" s="9">
        <f>(C16-C4)*1</f>
        <v>6</v>
      </c>
      <c r="L16" s="9">
        <f>(C29-C16)*1.5</f>
        <v>0</v>
      </c>
      <c r="M16" s="9">
        <f>(C41-C29)*2</f>
        <v>6</v>
      </c>
      <c r="N16" s="9">
        <f>(C54-C41)*2.5</f>
        <v>0</v>
      </c>
      <c r="O16" s="9">
        <f>(C65-C54)*3</f>
        <v>0</v>
      </c>
      <c r="P16" s="9">
        <f>(C76-C65)*3.5</f>
        <v>0</v>
      </c>
      <c r="Q16" s="9">
        <f>(C87-C76)*4</f>
        <v>0</v>
      </c>
      <c r="R16" s="9">
        <f>(C98-C87)*4.5</f>
        <v>0</v>
      </c>
      <c r="S16" s="9">
        <f>(C111-C98)*5</f>
        <v>0</v>
      </c>
      <c r="T16" s="9">
        <f>(C121-C111)*5.5</f>
        <v>0</v>
      </c>
      <c r="U16" s="9">
        <f>(C131-C121)*6</f>
        <v>0</v>
      </c>
      <c r="V16" s="9">
        <f>SUM(K16:U16)</f>
        <v>12</v>
      </c>
      <c r="W16">
        <f>V16/C131</f>
        <v>1.3333333333333333</v>
      </c>
      <c r="X16">
        <f>1/W16</f>
        <v>0.75</v>
      </c>
    </row>
    <row r="17" spans="2:34">
      <c r="B17" t="s">
        <v>15</v>
      </c>
      <c r="C17">
        <v>5</v>
      </c>
      <c r="D17">
        <v>3</v>
      </c>
      <c r="E17">
        <v>5</v>
      </c>
      <c r="F17">
        <v>6</v>
      </c>
      <c r="G17">
        <v>4</v>
      </c>
      <c r="K17" s="9">
        <f t="shared" ref="K17:K21" si="0">(C17-C5)*1</f>
        <v>5</v>
      </c>
      <c r="L17" s="9">
        <f t="shared" ref="L17:L21" si="1">(C30-C17)*1.5</f>
        <v>1.5</v>
      </c>
      <c r="M17" s="9">
        <f t="shared" ref="M17:M21" si="2">(C42-C30)*2</f>
        <v>6</v>
      </c>
      <c r="N17" s="9">
        <f t="shared" ref="N17:N21" si="3">(C55-C42)*2.5</f>
        <v>2.5</v>
      </c>
      <c r="O17" s="9">
        <f t="shared" ref="O17:O21" si="4">(C66-C55)*3</f>
        <v>0</v>
      </c>
      <c r="P17" s="9">
        <f t="shared" ref="P17:P21" si="5">(C77-C66)*3.5</f>
        <v>0</v>
      </c>
      <c r="Q17" s="9">
        <f t="shared" ref="Q17:Q21" si="6">(C88-C77)*4</f>
        <v>0</v>
      </c>
      <c r="R17" s="9">
        <f t="shared" ref="R17:R21" si="7">(C99-C88)*4.5</f>
        <v>0</v>
      </c>
      <c r="S17" s="9">
        <f t="shared" ref="S17:S21" si="8">(C112-C99)*5</f>
        <v>0</v>
      </c>
      <c r="T17" s="9">
        <f t="shared" ref="T17:T21" si="9">(C122-C112)*5.5</f>
        <v>0</v>
      </c>
      <c r="U17" s="9">
        <f t="shared" ref="U17:U21" si="10">(C132-C122)*6</f>
        <v>0</v>
      </c>
      <c r="V17" s="9">
        <f t="shared" ref="V17:V21" si="11">SUM(K17:U17)</f>
        <v>15</v>
      </c>
      <c r="W17">
        <f>V17/C132</f>
        <v>1.5</v>
      </c>
      <c r="X17">
        <f t="shared" ref="X17:X21" si="12">1/W17</f>
        <v>0.66666666666666663</v>
      </c>
    </row>
    <row r="18" spans="2:34">
      <c r="B18" t="s">
        <v>16</v>
      </c>
      <c r="C18">
        <v>5</v>
      </c>
      <c r="D18">
        <v>3</v>
      </c>
      <c r="E18">
        <v>7</v>
      </c>
      <c r="F18">
        <v>5</v>
      </c>
      <c r="G18">
        <v>8</v>
      </c>
      <c r="K18" s="9">
        <f t="shared" si="0"/>
        <v>5</v>
      </c>
      <c r="L18" s="9">
        <f t="shared" si="1"/>
        <v>0</v>
      </c>
      <c r="M18" s="9">
        <f t="shared" si="2"/>
        <v>8</v>
      </c>
      <c r="N18" s="9">
        <f t="shared" si="3"/>
        <v>2.5</v>
      </c>
      <c r="O18" s="9">
        <f t="shared" si="4"/>
        <v>0</v>
      </c>
      <c r="P18" s="9">
        <f t="shared" si="5"/>
        <v>3.5</v>
      </c>
      <c r="Q18" s="9">
        <f t="shared" si="6"/>
        <v>4</v>
      </c>
      <c r="R18" s="9">
        <f t="shared" si="7"/>
        <v>0</v>
      </c>
      <c r="S18" s="9">
        <f t="shared" si="8"/>
        <v>0</v>
      </c>
      <c r="T18" s="9">
        <f t="shared" si="9"/>
        <v>0</v>
      </c>
      <c r="U18" s="9">
        <f t="shared" si="10"/>
        <v>0</v>
      </c>
      <c r="V18" s="9">
        <f t="shared" si="11"/>
        <v>23</v>
      </c>
      <c r="W18">
        <f t="shared" ref="W18:W21" si="13">V18/C133</f>
        <v>1.9166666666666667</v>
      </c>
      <c r="X18">
        <f t="shared" si="12"/>
        <v>0.52173913043478259</v>
      </c>
    </row>
    <row r="19" spans="2:34">
      <c r="B19" t="s">
        <v>17</v>
      </c>
      <c r="C19">
        <v>6</v>
      </c>
      <c r="D19">
        <v>4</v>
      </c>
      <c r="E19">
        <v>7</v>
      </c>
      <c r="F19">
        <v>5</v>
      </c>
      <c r="G19">
        <v>7</v>
      </c>
      <c r="K19" s="9">
        <f t="shared" si="0"/>
        <v>6</v>
      </c>
      <c r="L19" s="9">
        <f t="shared" si="1"/>
        <v>0</v>
      </c>
      <c r="M19" s="9">
        <f t="shared" si="2"/>
        <v>4</v>
      </c>
      <c r="N19" s="9">
        <f t="shared" si="3"/>
        <v>7.5</v>
      </c>
      <c r="O19" s="9">
        <f t="shared" si="4"/>
        <v>0</v>
      </c>
      <c r="P19" s="9">
        <f t="shared" si="5"/>
        <v>0</v>
      </c>
      <c r="Q19" s="9">
        <f t="shared" si="6"/>
        <v>0</v>
      </c>
      <c r="R19" s="9">
        <f t="shared" si="7"/>
        <v>0</v>
      </c>
      <c r="S19" s="9">
        <f t="shared" si="8"/>
        <v>0</v>
      </c>
      <c r="T19" s="9">
        <f t="shared" si="9"/>
        <v>0</v>
      </c>
      <c r="U19" s="9">
        <f t="shared" si="10"/>
        <v>0</v>
      </c>
      <c r="V19" s="9">
        <f t="shared" si="11"/>
        <v>17.5</v>
      </c>
      <c r="W19">
        <f t="shared" si="13"/>
        <v>1.5909090909090908</v>
      </c>
      <c r="X19">
        <f t="shared" si="12"/>
        <v>0.62857142857142856</v>
      </c>
    </row>
    <row r="20" spans="2:34">
      <c r="B20" t="s">
        <v>18</v>
      </c>
      <c r="C20">
        <v>4</v>
      </c>
      <c r="D20">
        <v>3</v>
      </c>
      <c r="E20">
        <v>8</v>
      </c>
      <c r="F20">
        <v>7</v>
      </c>
      <c r="G20">
        <v>8</v>
      </c>
      <c r="K20" s="9">
        <f t="shared" si="0"/>
        <v>4</v>
      </c>
      <c r="L20" s="9">
        <f t="shared" si="1"/>
        <v>0</v>
      </c>
      <c r="M20" s="9">
        <f t="shared" si="2"/>
        <v>8</v>
      </c>
      <c r="N20" s="9">
        <f t="shared" si="3"/>
        <v>2.5</v>
      </c>
      <c r="O20" s="9">
        <f t="shared" si="4"/>
        <v>3</v>
      </c>
      <c r="P20" s="9">
        <f t="shared" si="5"/>
        <v>0</v>
      </c>
      <c r="Q20" s="9">
        <f t="shared" si="6"/>
        <v>4</v>
      </c>
      <c r="R20" s="9">
        <f t="shared" si="7"/>
        <v>0</v>
      </c>
      <c r="S20" s="9">
        <f t="shared" si="8"/>
        <v>0</v>
      </c>
      <c r="T20" s="9">
        <f t="shared" si="9"/>
        <v>0</v>
      </c>
      <c r="U20" s="9">
        <f t="shared" si="10"/>
        <v>0</v>
      </c>
      <c r="V20" s="9">
        <f t="shared" si="11"/>
        <v>21.5</v>
      </c>
      <c r="W20">
        <f t="shared" si="13"/>
        <v>1.9545454545454546</v>
      </c>
      <c r="X20">
        <f t="shared" si="12"/>
        <v>0.51162790697674421</v>
      </c>
    </row>
    <row r="21" spans="2:34">
      <c r="B21" t="s">
        <v>19</v>
      </c>
      <c r="C21">
        <v>2</v>
      </c>
      <c r="D21">
        <v>3</v>
      </c>
      <c r="E21">
        <v>4</v>
      </c>
      <c r="F21">
        <v>6</v>
      </c>
      <c r="G21">
        <v>5</v>
      </c>
      <c r="K21" s="9">
        <f t="shared" si="0"/>
        <v>2</v>
      </c>
      <c r="L21" s="9">
        <f t="shared" si="1"/>
        <v>6</v>
      </c>
      <c r="M21" s="9">
        <f t="shared" si="2"/>
        <v>6</v>
      </c>
      <c r="N21" s="9">
        <f t="shared" si="3"/>
        <v>2.5</v>
      </c>
      <c r="O21" s="9">
        <f t="shared" si="4"/>
        <v>0</v>
      </c>
      <c r="P21" s="9">
        <f t="shared" si="5"/>
        <v>0</v>
      </c>
      <c r="Q21" s="9">
        <f t="shared" si="6"/>
        <v>4</v>
      </c>
      <c r="R21" s="9">
        <f t="shared" si="7"/>
        <v>0</v>
      </c>
      <c r="S21" s="9">
        <f t="shared" si="8"/>
        <v>0</v>
      </c>
      <c r="T21" s="9">
        <f t="shared" si="9"/>
        <v>0</v>
      </c>
      <c r="U21" s="9">
        <f t="shared" si="10"/>
        <v>0</v>
      </c>
      <c r="V21" s="9">
        <f t="shared" si="11"/>
        <v>20.5</v>
      </c>
      <c r="W21">
        <f t="shared" si="13"/>
        <v>1.8636363636363635</v>
      </c>
      <c r="X21">
        <f t="shared" si="12"/>
        <v>0.53658536585365857</v>
      </c>
    </row>
    <row r="22" spans="2:34">
      <c r="B22" t="s">
        <v>20</v>
      </c>
      <c r="C22" s="2">
        <f>AVERAGE(C16:C21)</f>
        <v>4.666666666666667</v>
      </c>
      <c r="D22" s="2">
        <f>AVERAGE(D16:D21)</f>
        <v>3.1666666666666665</v>
      </c>
      <c r="E22" s="2">
        <f>AVERAGE(E16:E21)</f>
        <v>6.166666666666667</v>
      </c>
      <c r="F22" s="2">
        <f>AVERAGE(F16:F21)</f>
        <v>5.833333333333333</v>
      </c>
      <c r="G22" s="2">
        <f>AVERAGE(G16:G21)</f>
        <v>6.5</v>
      </c>
      <c r="L22" s="9"/>
      <c r="V22" t="s">
        <v>20</v>
      </c>
      <c r="W22" s="10">
        <f>AVERAGE(W16:W21)</f>
        <v>1.6931818181818181</v>
      </c>
      <c r="X22" s="10">
        <f>AVERAGE(X16:X21)</f>
        <v>0.6025317497505468</v>
      </c>
    </row>
    <row r="23" spans="2:34">
      <c r="B23" t="s">
        <v>21</v>
      </c>
      <c r="C23" s="2">
        <f>STDEV(C16:C21)</f>
        <v>1.5055453054181624</v>
      </c>
      <c r="D23" s="2">
        <f>STDEV(D16:D21)</f>
        <v>0.40824829046386357</v>
      </c>
      <c r="E23" s="2">
        <f>STDEV(E16:E21)</f>
        <v>1.4719601443879753</v>
      </c>
      <c r="F23" s="2">
        <f>STDEV(F16:F21)</f>
        <v>0.75277265270908222</v>
      </c>
      <c r="G23" s="2">
        <f>STDEV(G16:G21)</f>
        <v>1.6431676725154984</v>
      </c>
      <c r="L23" s="9"/>
      <c r="V23" t="s">
        <v>21</v>
      </c>
      <c r="W23" s="10">
        <f>STDEV(W16:W21)</f>
        <v>0.25478659213122828</v>
      </c>
      <c r="X23" s="10">
        <f>STDEV(X16:X21)</f>
        <v>9.5580456986341863E-2</v>
      </c>
    </row>
    <row r="24" spans="2:34">
      <c r="B24" t="s">
        <v>22</v>
      </c>
      <c r="C24" s="1">
        <f>CONFIDENCE(0.5,C23,6)</f>
        <v>0.41456588252807669</v>
      </c>
      <c r="D24" s="1">
        <f>CONFIDENCE(0.5,D23,6)</f>
        <v>0.11241495836601376</v>
      </c>
      <c r="E24" s="1">
        <f>CONFIDENCE(0.5,E23,6)</f>
        <v>0.4053178965178118</v>
      </c>
      <c r="F24" s="1">
        <f>CONFIDENCE(0.5,F23,6)</f>
        <v>0.20728294126403862</v>
      </c>
      <c r="G24" s="1">
        <f>CONFIDENCE(0.5,G23,6)</f>
        <v>0.45246147946958726</v>
      </c>
      <c r="L24" s="9"/>
      <c r="V24" t="s">
        <v>22</v>
      </c>
      <c r="W24" s="10">
        <f>CONFIDENCE(0.5,W23,6)</f>
        <v>7.0157854461819991E-2</v>
      </c>
      <c r="X24" s="10">
        <f>CONFIDENCE(0.5,X23,6)</f>
        <v>2.6318966530186273E-2</v>
      </c>
    </row>
    <row r="27" spans="2:34">
      <c r="D27" t="s">
        <v>23</v>
      </c>
      <c r="K27" s="8" t="s">
        <v>10</v>
      </c>
      <c r="X27" t="s">
        <v>91</v>
      </c>
    </row>
    <row r="28" spans="2:34">
      <c r="C28" t="s">
        <v>24</v>
      </c>
      <c r="D28" t="s">
        <v>25</v>
      </c>
      <c r="E28" t="s">
        <v>26</v>
      </c>
      <c r="F28" t="s">
        <v>27</v>
      </c>
      <c r="G28" t="s">
        <v>28</v>
      </c>
      <c r="K28" t="s">
        <v>77</v>
      </c>
      <c r="L28" s="8" t="s">
        <v>67</v>
      </c>
      <c r="M28" s="8" t="s">
        <v>68</v>
      </c>
      <c r="N28" s="8" t="s">
        <v>69</v>
      </c>
      <c r="O28" s="8" t="s">
        <v>70</v>
      </c>
      <c r="P28" s="8" t="s">
        <v>71</v>
      </c>
      <c r="Q28" s="8" t="s">
        <v>72</v>
      </c>
      <c r="R28" s="8" t="s">
        <v>73</v>
      </c>
      <c r="S28" s="8" t="s">
        <v>74</v>
      </c>
      <c r="T28">
        <v>132</v>
      </c>
      <c r="U28">
        <v>144</v>
      </c>
      <c r="V28" s="8" t="s">
        <v>75</v>
      </c>
      <c r="W28" s="8" t="s">
        <v>88</v>
      </c>
      <c r="X28" s="8" t="s">
        <v>89</v>
      </c>
      <c r="AD28" t="s">
        <v>92</v>
      </c>
    </row>
    <row r="29" spans="2:34">
      <c r="B29">
        <v>1</v>
      </c>
      <c r="C29">
        <v>6</v>
      </c>
      <c r="D29">
        <v>4</v>
      </c>
      <c r="E29">
        <v>6</v>
      </c>
      <c r="F29">
        <v>6</v>
      </c>
      <c r="G29">
        <v>7</v>
      </c>
      <c r="K29" s="9">
        <f>(D16-D4)*1</f>
        <v>3</v>
      </c>
      <c r="L29" s="9">
        <f>(D29-D16)*1.5</f>
        <v>1.5</v>
      </c>
      <c r="M29" s="9">
        <f>(D41-D29)*2</f>
        <v>8</v>
      </c>
      <c r="N29" s="9">
        <f>(D54-D41)*2.5</f>
        <v>5</v>
      </c>
      <c r="O29" s="9">
        <f>(D65-D54)*3</f>
        <v>0</v>
      </c>
      <c r="P29" s="9">
        <f>(D76-D65)*3.5</f>
        <v>0</v>
      </c>
      <c r="Q29" s="9">
        <f>(D87-D76)*4</f>
        <v>0</v>
      </c>
      <c r="R29" s="9">
        <f>(D98-D87)*4.5</f>
        <v>0</v>
      </c>
      <c r="S29" s="9">
        <f>(D111-D98)*5</f>
        <v>0</v>
      </c>
      <c r="T29" s="9">
        <f>(D121-D111)*5.5</f>
        <v>0</v>
      </c>
      <c r="U29" s="9">
        <f>(D131-D121)*6</f>
        <v>0</v>
      </c>
      <c r="V29" s="9">
        <f>SUM(K29:U29)</f>
        <v>17.5</v>
      </c>
      <c r="W29">
        <f>V29/D131</f>
        <v>1.75</v>
      </c>
      <c r="X29">
        <f>1/W29</f>
        <v>0.5714285714285714</v>
      </c>
    </row>
    <row r="30" spans="2:34">
      <c r="B30">
        <v>2</v>
      </c>
      <c r="C30">
        <v>6</v>
      </c>
      <c r="D30">
        <v>3</v>
      </c>
      <c r="E30">
        <v>5</v>
      </c>
      <c r="F30">
        <v>6</v>
      </c>
      <c r="G30">
        <v>4</v>
      </c>
      <c r="K30" s="9">
        <f t="shared" ref="K30:K34" si="14">(D17-D5)*1</f>
        <v>3</v>
      </c>
      <c r="L30" s="9">
        <f t="shared" ref="L30:L34" si="15">(D30-D17)*1.5</f>
        <v>0</v>
      </c>
      <c r="M30" s="9">
        <f t="shared" ref="M30:M34" si="16">(D42-D30)*2</f>
        <v>14</v>
      </c>
      <c r="N30" s="9">
        <f t="shared" ref="N30:N34" si="17">(D55-D42)*2.5</f>
        <v>0</v>
      </c>
      <c r="O30" s="9">
        <f t="shared" ref="O30:O34" si="18">(D66-D55)*3</f>
        <v>0</v>
      </c>
      <c r="P30" s="9">
        <f t="shared" ref="P30:P34" si="19">(D77-D66)*3.5</f>
        <v>3.5</v>
      </c>
      <c r="Q30" s="9">
        <f t="shared" ref="Q30:Q34" si="20">(D88-D77)*4</f>
        <v>0</v>
      </c>
      <c r="R30" s="9">
        <f t="shared" ref="R30:R34" si="21">(D99-D88)*4.5</f>
        <v>0</v>
      </c>
      <c r="S30" s="9">
        <f t="shared" ref="S30:S34" si="22">(D112-D99)*5</f>
        <v>0</v>
      </c>
      <c r="T30" s="9">
        <f t="shared" ref="T30:T34" si="23">(D122-D112)*5.5</f>
        <v>0</v>
      </c>
      <c r="U30" s="9">
        <f t="shared" ref="U30:U34" si="24">(D132-D122)*6</f>
        <v>0</v>
      </c>
      <c r="V30" s="9">
        <f t="shared" ref="V30:V34" si="25">SUM(K30:U30)</f>
        <v>20.5</v>
      </c>
      <c r="W30">
        <f t="shared" ref="W30:W34" si="26">V30/D132</f>
        <v>1.8636363636363635</v>
      </c>
      <c r="X30">
        <f t="shared" ref="X30:X34" si="27">1/W30</f>
        <v>0.53658536585365857</v>
      </c>
      <c r="AD30" s="11" t="s">
        <v>79</v>
      </c>
      <c r="AE30" s="8" t="s">
        <v>80</v>
      </c>
      <c r="AF30" s="8" t="s">
        <v>97</v>
      </c>
      <c r="AG30" s="8" t="s">
        <v>98</v>
      </c>
      <c r="AH30" s="8" t="s">
        <v>99</v>
      </c>
    </row>
    <row r="31" spans="2:34">
      <c r="B31">
        <v>3</v>
      </c>
      <c r="C31">
        <v>5</v>
      </c>
      <c r="D31">
        <v>5</v>
      </c>
      <c r="E31">
        <v>7</v>
      </c>
      <c r="F31">
        <v>5</v>
      </c>
      <c r="G31">
        <v>8</v>
      </c>
      <c r="K31" s="9">
        <f t="shared" si="14"/>
        <v>3</v>
      </c>
      <c r="L31" s="9">
        <f t="shared" si="15"/>
        <v>3</v>
      </c>
      <c r="M31" s="9">
        <f t="shared" si="16"/>
        <v>8</v>
      </c>
      <c r="N31" s="9">
        <f t="shared" si="17"/>
        <v>0</v>
      </c>
      <c r="O31" s="9">
        <f t="shared" si="18"/>
        <v>6</v>
      </c>
      <c r="P31" s="9">
        <f t="shared" si="19"/>
        <v>3.5</v>
      </c>
      <c r="Q31" s="9">
        <f t="shared" si="20"/>
        <v>0</v>
      </c>
      <c r="R31" s="9">
        <f t="shared" si="21"/>
        <v>0</v>
      </c>
      <c r="S31" s="9">
        <f t="shared" si="22"/>
        <v>0</v>
      </c>
      <c r="T31" s="9">
        <f t="shared" si="23"/>
        <v>0</v>
      </c>
      <c r="U31" s="9">
        <f t="shared" si="24"/>
        <v>0</v>
      </c>
      <c r="V31" s="9">
        <f t="shared" si="25"/>
        <v>23.5</v>
      </c>
      <c r="W31">
        <f t="shared" si="26"/>
        <v>1.9583333333333333</v>
      </c>
      <c r="X31">
        <f t="shared" si="27"/>
        <v>0.5106382978723405</v>
      </c>
      <c r="AC31" t="s">
        <v>33</v>
      </c>
      <c r="AD31">
        <v>0.6025317497505468</v>
      </c>
      <c r="AE31">
        <v>0.54407598893164122</v>
      </c>
      <c r="AF31">
        <v>0.66966405508072169</v>
      </c>
      <c r="AG31">
        <v>0.58826687101567687</v>
      </c>
      <c r="AH31">
        <v>0.69670254670254683</v>
      </c>
    </row>
    <row r="32" spans="2:34">
      <c r="B32">
        <v>4</v>
      </c>
      <c r="C32">
        <v>6</v>
      </c>
      <c r="D32">
        <v>4</v>
      </c>
      <c r="E32">
        <v>7</v>
      </c>
      <c r="F32">
        <v>5</v>
      </c>
      <c r="G32">
        <v>7</v>
      </c>
      <c r="K32" s="9">
        <f t="shared" si="14"/>
        <v>4</v>
      </c>
      <c r="L32" s="9">
        <f t="shared" si="15"/>
        <v>0</v>
      </c>
      <c r="M32" s="9">
        <f t="shared" si="16"/>
        <v>8</v>
      </c>
      <c r="N32" s="9">
        <f t="shared" si="17"/>
        <v>0</v>
      </c>
      <c r="O32" s="9">
        <f t="shared" si="18"/>
        <v>3</v>
      </c>
      <c r="P32" s="9">
        <f t="shared" si="19"/>
        <v>3.5</v>
      </c>
      <c r="Q32" s="9">
        <f t="shared" si="20"/>
        <v>0</v>
      </c>
      <c r="R32" s="9">
        <f t="shared" si="21"/>
        <v>0</v>
      </c>
      <c r="S32" s="9">
        <f t="shared" si="22"/>
        <v>0</v>
      </c>
      <c r="T32" s="9">
        <f t="shared" si="23"/>
        <v>0</v>
      </c>
      <c r="U32" s="9">
        <f t="shared" si="24"/>
        <v>0</v>
      </c>
      <c r="V32" s="9">
        <f t="shared" si="25"/>
        <v>18.5</v>
      </c>
      <c r="W32">
        <f t="shared" si="26"/>
        <v>1.85</v>
      </c>
      <c r="X32">
        <f t="shared" si="27"/>
        <v>0.54054054054054046</v>
      </c>
      <c r="AC32" t="s">
        <v>78</v>
      </c>
      <c r="AD32">
        <v>2.6318966530186273E-2</v>
      </c>
      <c r="AE32">
        <v>7.2501525971149653E-3</v>
      </c>
      <c r="AF32">
        <v>2.4031385394394887E-2</v>
      </c>
      <c r="AG32">
        <v>4.723488754873216E-2</v>
      </c>
      <c r="AH32">
        <v>3.5658615620068952E-2</v>
      </c>
    </row>
    <row r="33" spans="2:24">
      <c r="B33">
        <v>5</v>
      </c>
      <c r="C33">
        <v>4</v>
      </c>
      <c r="D33">
        <v>3</v>
      </c>
      <c r="E33">
        <v>8</v>
      </c>
      <c r="F33">
        <v>7</v>
      </c>
      <c r="G33">
        <v>8</v>
      </c>
      <c r="K33" s="9">
        <f t="shared" si="14"/>
        <v>3</v>
      </c>
      <c r="L33" s="9">
        <f t="shared" si="15"/>
        <v>0</v>
      </c>
      <c r="M33" s="9">
        <f t="shared" si="16"/>
        <v>10</v>
      </c>
      <c r="N33" s="9">
        <f t="shared" si="17"/>
        <v>2.5</v>
      </c>
      <c r="O33" s="9">
        <f t="shared" si="18"/>
        <v>0</v>
      </c>
      <c r="P33" s="9">
        <f t="shared" si="19"/>
        <v>3.5</v>
      </c>
      <c r="Q33" s="9">
        <f t="shared" si="20"/>
        <v>0</v>
      </c>
      <c r="R33" s="9">
        <f t="shared" si="21"/>
        <v>0</v>
      </c>
      <c r="S33" s="9">
        <f t="shared" si="22"/>
        <v>0</v>
      </c>
      <c r="T33" s="9">
        <f t="shared" si="23"/>
        <v>0</v>
      </c>
      <c r="U33" s="9">
        <f t="shared" si="24"/>
        <v>0</v>
      </c>
      <c r="V33" s="9">
        <f t="shared" si="25"/>
        <v>19</v>
      </c>
      <c r="W33">
        <f t="shared" si="26"/>
        <v>1.9</v>
      </c>
      <c r="X33">
        <f t="shared" si="27"/>
        <v>0.52631578947368418</v>
      </c>
    </row>
    <row r="34" spans="2:24">
      <c r="B34">
        <v>6</v>
      </c>
      <c r="C34">
        <v>6</v>
      </c>
      <c r="D34">
        <v>3</v>
      </c>
      <c r="E34">
        <v>4</v>
      </c>
      <c r="F34">
        <v>7</v>
      </c>
      <c r="G34">
        <v>5</v>
      </c>
      <c r="K34" s="9">
        <f t="shared" si="14"/>
        <v>3</v>
      </c>
      <c r="L34" s="9">
        <f t="shared" si="15"/>
        <v>0</v>
      </c>
      <c r="M34" s="9">
        <f t="shared" si="16"/>
        <v>16</v>
      </c>
      <c r="N34" s="9">
        <f t="shared" si="17"/>
        <v>0</v>
      </c>
      <c r="O34" s="9">
        <f t="shared" si="18"/>
        <v>0</v>
      </c>
      <c r="P34" s="9">
        <f t="shared" si="19"/>
        <v>0</v>
      </c>
      <c r="Q34" s="9">
        <f t="shared" si="20"/>
        <v>0</v>
      </c>
      <c r="R34" s="9">
        <f t="shared" si="21"/>
        <v>0</v>
      </c>
      <c r="S34" s="9">
        <f t="shared" si="22"/>
        <v>0</v>
      </c>
      <c r="T34" s="9">
        <f t="shared" si="23"/>
        <v>0</v>
      </c>
      <c r="U34" s="9">
        <f t="shared" si="24"/>
        <v>0</v>
      </c>
      <c r="V34" s="9">
        <f t="shared" si="25"/>
        <v>19</v>
      </c>
      <c r="W34">
        <f t="shared" si="26"/>
        <v>1.7272727272727273</v>
      </c>
      <c r="X34">
        <f t="shared" si="27"/>
        <v>0.57894736842105265</v>
      </c>
    </row>
    <row r="35" spans="2:24">
      <c r="B35" t="s">
        <v>29</v>
      </c>
      <c r="C35" s="2">
        <f>AVERAGE(C29:C34)</f>
        <v>5.5</v>
      </c>
      <c r="D35" s="2">
        <f>AVERAGE(D29:D34)</f>
        <v>3.6666666666666665</v>
      </c>
      <c r="E35" s="2">
        <f>AVERAGE(E29:E34)</f>
        <v>6.166666666666667</v>
      </c>
      <c r="F35" s="2">
        <f>AVERAGE(F29:F34)</f>
        <v>6</v>
      </c>
      <c r="G35" s="2">
        <f>AVERAGE(G29:G34)</f>
        <v>6.5</v>
      </c>
      <c r="L35" s="9"/>
      <c r="V35" t="s">
        <v>20</v>
      </c>
      <c r="W35" s="10">
        <f>AVERAGE(W29:W34)</f>
        <v>1.841540404040404</v>
      </c>
      <c r="X35" s="10">
        <f>AVERAGE(X29:X34)</f>
        <v>0.54407598893164122</v>
      </c>
    </row>
    <row r="36" spans="2:24">
      <c r="B36" t="s">
        <v>30</v>
      </c>
      <c r="C36" s="1">
        <f>STDEV(C29:C34)</f>
        <v>0.83666002653407556</v>
      </c>
      <c r="D36" s="1">
        <f>STDEV(D29:D34)</f>
        <v>0.81649658092772548</v>
      </c>
      <c r="E36" s="1">
        <f>STDEV(E29:E34)</f>
        <v>1.4719601443879753</v>
      </c>
      <c r="F36" s="1">
        <f>STDEV(F29:F34)</f>
        <v>0.89442719099991586</v>
      </c>
      <c r="G36" s="1">
        <f>STDEV(G29:G34)</f>
        <v>1.6431676725154984</v>
      </c>
      <c r="L36" s="9"/>
      <c r="V36" t="s">
        <v>21</v>
      </c>
      <c r="W36" s="10">
        <f>STDEV(W29:W34)</f>
        <v>8.8379473196679895E-2</v>
      </c>
      <c r="X36" s="10">
        <f>STDEV(X29:X34)</f>
        <v>2.6329791394284551E-2</v>
      </c>
    </row>
    <row r="37" spans="2:24">
      <c r="B37" t="s">
        <v>31</v>
      </c>
      <c r="C37" s="1">
        <f>CONFIDENCE(0.5,C36,6)</f>
        <v>0.23038210874678791</v>
      </c>
      <c r="D37" s="1">
        <f>CONFIDENCE(0.5,D36,6)</f>
        <v>0.22482991673202707</v>
      </c>
      <c r="E37" s="1">
        <f>CONFIDENCE(0.5,E36,6)</f>
        <v>0.4053178965178118</v>
      </c>
      <c r="F37" s="1">
        <f>CONFIDENCE(0.5,F36,6)</f>
        <v>0.24628883399227897</v>
      </c>
      <c r="G37" s="1">
        <f>CONFIDENCE(0.5,G36,6)</f>
        <v>0.45246147946958726</v>
      </c>
      <c r="L37" s="9"/>
      <c r="V37" t="s">
        <v>22</v>
      </c>
      <c r="W37" s="10">
        <f>CONFIDENCE(0.5,W36,6)</f>
        <v>2.4336108764904722E-2</v>
      </c>
      <c r="X37" s="10">
        <f>CONFIDENCE(0.5,X36,6)</f>
        <v>7.2501525971149653E-3</v>
      </c>
    </row>
    <row r="38" spans="2:24">
      <c r="K38" t="s">
        <v>11</v>
      </c>
    </row>
    <row r="39" spans="2:24">
      <c r="C39" t="s">
        <v>32</v>
      </c>
      <c r="X39" t="s">
        <v>91</v>
      </c>
    </row>
    <row r="40" spans="2:24">
      <c r="C40" t="s">
        <v>24</v>
      </c>
      <c r="D40" t="s">
        <v>25</v>
      </c>
      <c r="E40" t="s">
        <v>26</v>
      </c>
      <c r="F40" t="s">
        <v>27</v>
      </c>
      <c r="G40" t="s">
        <v>28</v>
      </c>
      <c r="K40" t="s">
        <v>77</v>
      </c>
      <c r="L40" s="8" t="s">
        <v>67</v>
      </c>
      <c r="M40" s="8" t="s">
        <v>68</v>
      </c>
      <c r="N40" s="8" t="s">
        <v>69</v>
      </c>
      <c r="O40" s="8" t="s">
        <v>70</v>
      </c>
      <c r="P40" s="8" t="s">
        <v>71</v>
      </c>
      <c r="Q40" s="8" t="s">
        <v>72</v>
      </c>
      <c r="R40" s="8" t="s">
        <v>73</v>
      </c>
      <c r="S40" s="8" t="s">
        <v>74</v>
      </c>
      <c r="T40">
        <v>132</v>
      </c>
      <c r="U40">
        <v>144</v>
      </c>
      <c r="V40" s="8" t="s">
        <v>75</v>
      </c>
      <c r="W40" s="8" t="s">
        <v>88</v>
      </c>
      <c r="X40" s="8" t="s">
        <v>89</v>
      </c>
    </row>
    <row r="41" spans="2:24">
      <c r="B41">
        <v>1</v>
      </c>
      <c r="C41">
        <v>9</v>
      </c>
      <c r="D41">
        <v>8</v>
      </c>
      <c r="E41">
        <v>9</v>
      </c>
      <c r="F41">
        <v>10</v>
      </c>
      <c r="G41">
        <v>11</v>
      </c>
      <c r="K41" s="9">
        <f>(E16-E4)*1</f>
        <v>6</v>
      </c>
      <c r="L41" s="9">
        <f>(E29-E16)*1.5</f>
        <v>0</v>
      </c>
      <c r="M41" s="9">
        <f>(E41-E29)*2</f>
        <v>6</v>
      </c>
      <c r="N41" s="9">
        <f>(E54-E41)*2.5</f>
        <v>0</v>
      </c>
      <c r="O41" s="9">
        <f>(E65-E54)*3</f>
        <v>0</v>
      </c>
      <c r="P41" s="9">
        <f>(E76-E65)*3.5</f>
        <v>3.5</v>
      </c>
      <c r="Q41" s="9">
        <f>(E87-E76)*4</f>
        <v>4</v>
      </c>
      <c r="R41" s="9">
        <f>(E98-E87)*4.5</f>
        <v>0</v>
      </c>
      <c r="S41" s="9">
        <f>(E111-E98)*5</f>
        <v>0</v>
      </c>
      <c r="T41" s="9">
        <f>(E121-E111)*5.5</f>
        <v>0</v>
      </c>
      <c r="U41" s="9">
        <f>(E131-E121)*6</f>
        <v>0</v>
      </c>
      <c r="V41" s="9">
        <f>SUM(K41:U41)</f>
        <v>19.5</v>
      </c>
      <c r="W41">
        <f>V41/E131</f>
        <v>1.7727272727272727</v>
      </c>
      <c r="X41">
        <f>1/W41</f>
        <v>0.5641025641025641</v>
      </c>
    </row>
    <row r="42" spans="2:24">
      <c r="B42">
        <v>2</v>
      </c>
      <c r="C42">
        <v>9</v>
      </c>
      <c r="D42">
        <v>10</v>
      </c>
      <c r="E42">
        <v>9</v>
      </c>
      <c r="F42">
        <v>8</v>
      </c>
      <c r="G42">
        <v>8</v>
      </c>
      <c r="K42" s="9">
        <f t="shared" ref="K42:K46" si="28">(E17-E5)*1</f>
        <v>5</v>
      </c>
      <c r="L42" s="9">
        <f t="shared" ref="L42:L46" si="29">(E30-E17)*1.5</f>
        <v>0</v>
      </c>
      <c r="M42" s="9">
        <f t="shared" ref="M42:M46" si="30">(E42-E30)*2</f>
        <v>8</v>
      </c>
      <c r="N42" s="9">
        <f t="shared" ref="N42:N46" si="31">(E55-E42)*2.5</f>
        <v>0</v>
      </c>
      <c r="O42" s="9">
        <f t="shared" ref="O42:O46" si="32">(E66-E55)*3</f>
        <v>0</v>
      </c>
      <c r="P42" s="9">
        <f t="shared" ref="P42:P46" si="33">(E77-E66)*3.5</f>
        <v>0</v>
      </c>
      <c r="Q42" s="9">
        <f t="shared" ref="Q42:Q46" si="34">(E88-E77)*4</f>
        <v>0</v>
      </c>
      <c r="R42" s="9">
        <f t="shared" ref="R42:R46" si="35">(E99-E88)*4.5</f>
        <v>0</v>
      </c>
      <c r="S42" s="9">
        <f t="shared" ref="S42:S46" si="36">(E112-E99)*5</f>
        <v>0</v>
      </c>
      <c r="T42" s="9">
        <f t="shared" ref="T42:T46" si="37">(E122-E112)*5.5</f>
        <v>0</v>
      </c>
      <c r="U42" s="9">
        <f t="shared" ref="U42:U46" si="38">(E132-E122)*6</f>
        <v>0</v>
      </c>
      <c r="V42" s="9">
        <f t="shared" ref="V42:V46" si="39">SUM(K42:U42)</f>
        <v>13</v>
      </c>
      <c r="W42">
        <f t="shared" ref="W42:W46" si="40">V42/E132</f>
        <v>1.4444444444444444</v>
      </c>
      <c r="X42">
        <f t="shared" ref="X42:X46" si="41">1/W42</f>
        <v>0.69230769230769229</v>
      </c>
    </row>
    <row r="43" spans="2:24">
      <c r="B43">
        <v>3</v>
      </c>
      <c r="C43">
        <v>9</v>
      </c>
      <c r="D43">
        <v>9</v>
      </c>
      <c r="E43">
        <v>9</v>
      </c>
      <c r="F43">
        <v>7</v>
      </c>
      <c r="G43">
        <v>9</v>
      </c>
      <c r="K43" s="9">
        <f t="shared" si="28"/>
        <v>7</v>
      </c>
      <c r="L43" s="9">
        <f t="shared" si="29"/>
        <v>0</v>
      </c>
      <c r="M43" s="9">
        <f t="shared" si="30"/>
        <v>4</v>
      </c>
      <c r="N43" s="9">
        <f t="shared" si="31"/>
        <v>2.5</v>
      </c>
      <c r="O43" s="9">
        <f t="shared" si="32"/>
        <v>0</v>
      </c>
      <c r="P43" s="9">
        <f t="shared" si="33"/>
        <v>0</v>
      </c>
      <c r="Q43" s="9">
        <f t="shared" si="34"/>
        <v>0</v>
      </c>
      <c r="R43" s="9">
        <f t="shared" si="35"/>
        <v>0</v>
      </c>
      <c r="S43" s="9">
        <f t="shared" si="36"/>
        <v>0</v>
      </c>
      <c r="T43" s="9">
        <f t="shared" si="37"/>
        <v>0</v>
      </c>
      <c r="U43" s="9">
        <f t="shared" si="38"/>
        <v>0</v>
      </c>
      <c r="V43" s="9">
        <f t="shared" si="39"/>
        <v>13.5</v>
      </c>
      <c r="W43">
        <f t="shared" si="40"/>
        <v>1.35</v>
      </c>
      <c r="X43">
        <f t="shared" si="41"/>
        <v>0.7407407407407407</v>
      </c>
    </row>
    <row r="44" spans="2:24">
      <c r="B44">
        <v>4</v>
      </c>
      <c r="C44">
        <v>8</v>
      </c>
      <c r="D44">
        <v>8</v>
      </c>
      <c r="E44">
        <v>10</v>
      </c>
      <c r="F44">
        <v>9</v>
      </c>
      <c r="G44">
        <v>9</v>
      </c>
      <c r="K44" s="9">
        <f t="shared" si="28"/>
        <v>7</v>
      </c>
      <c r="L44" s="9">
        <f t="shared" si="29"/>
        <v>0</v>
      </c>
      <c r="M44" s="9">
        <f t="shared" si="30"/>
        <v>6</v>
      </c>
      <c r="N44" s="9">
        <f t="shared" si="31"/>
        <v>0</v>
      </c>
      <c r="O44" s="9">
        <f t="shared" si="32"/>
        <v>0</v>
      </c>
      <c r="P44" s="9">
        <f t="shared" si="33"/>
        <v>0</v>
      </c>
      <c r="Q44" s="9">
        <f t="shared" si="34"/>
        <v>0</v>
      </c>
      <c r="R44" s="9">
        <f t="shared" si="35"/>
        <v>0</v>
      </c>
      <c r="S44" s="9">
        <f t="shared" si="36"/>
        <v>0</v>
      </c>
      <c r="T44" s="9">
        <f t="shared" si="37"/>
        <v>0</v>
      </c>
      <c r="U44" s="9">
        <f t="shared" si="38"/>
        <v>0</v>
      </c>
      <c r="V44" s="9">
        <f t="shared" si="39"/>
        <v>13</v>
      </c>
      <c r="W44">
        <f t="shared" si="40"/>
        <v>1.3</v>
      </c>
      <c r="X44">
        <f t="shared" si="41"/>
        <v>0.76923076923076916</v>
      </c>
    </row>
    <row r="45" spans="2:24">
      <c r="B45">
        <v>5</v>
      </c>
      <c r="C45">
        <v>8</v>
      </c>
      <c r="D45">
        <v>8</v>
      </c>
      <c r="E45">
        <v>10</v>
      </c>
      <c r="F45">
        <v>10</v>
      </c>
      <c r="G45">
        <v>10</v>
      </c>
      <c r="K45" s="9">
        <f t="shared" si="28"/>
        <v>8</v>
      </c>
      <c r="L45" s="9">
        <f t="shared" si="29"/>
        <v>0</v>
      </c>
      <c r="M45" s="9">
        <f t="shared" si="30"/>
        <v>4</v>
      </c>
      <c r="N45" s="9">
        <f t="shared" si="31"/>
        <v>0</v>
      </c>
      <c r="O45" s="9">
        <f t="shared" si="32"/>
        <v>0</v>
      </c>
      <c r="P45" s="9">
        <f t="shared" si="33"/>
        <v>0</v>
      </c>
      <c r="Q45" s="9">
        <f t="shared" si="34"/>
        <v>4</v>
      </c>
      <c r="R45" s="9">
        <f t="shared" si="35"/>
        <v>0</v>
      </c>
      <c r="S45" s="9">
        <f t="shared" si="36"/>
        <v>0</v>
      </c>
      <c r="T45" s="9">
        <f t="shared" si="37"/>
        <v>0</v>
      </c>
      <c r="U45" s="9">
        <f t="shared" si="38"/>
        <v>0</v>
      </c>
      <c r="V45" s="9">
        <f t="shared" si="39"/>
        <v>16</v>
      </c>
      <c r="W45">
        <f t="shared" si="40"/>
        <v>1.4545454545454546</v>
      </c>
      <c r="X45">
        <f t="shared" si="41"/>
        <v>0.6875</v>
      </c>
    </row>
    <row r="46" spans="2:24">
      <c r="B46">
        <v>6</v>
      </c>
      <c r="C46">
        <v>9</v>
      </c>
      <c r="D46">
        <v>11</v>
      </c>
      <c r="E46">
        <v>10</v>
      </c>
      <c r="F46">
        <v>7</v>
      </c>
      <c r="G46">
        <v>8</v>
      </c>
      <c r="K46" s="9">
        <f t="shared" si="28"/>
        <v>4</v>
      </c>
      <c r="L46" s="9">
        <f t="shared" si="29"/>
        <v>0</v>
      </c>
      <c r="M46" s="9">
        <f t="shared" si="30"/>
        <v>12</v>
      </c>
      <c r="N46" s="9">
        <f t="shared" si="31"/>
        <v>0</v>
      </c>
      <c r="O46" s="9">
        <f t="shared" si="32"/>
        <v>0</v>
      </c>
      <c r="P46" s="9">
        <f t="shared" si="33"/>
        <v>3.5</v>
      </c>
      <c r="Q46" s="9">
        <f t="shared" si="34"/>
        <v>0</v>
      </c>
      <c r="R46" s="9">
        <f t="shared" si="35"/>
        <v>0</v>
      </c>
      <c r="S46" s="9">
        <f t="shared" si="36"/>
        <v>0</v>
      </c>
      <c r="T46" s="9">
        <f t="shared" si="37"/>
        <v>0</v>
      </c>
      <c r="U46" s="9">
        <f t="shared" si="38"/>
        <v>0</v>
      </c>
      <c r="V46" s="9">
        <f t="shared" si="39"/>
        <v>19.5</v>
      </c>
      <c r="W46">
        <f t="shared" si="40"/>
        <v>1.7727272727272727</v>
      </c>
      <c r="X46">
        <f t="shared" si="41"/>
        <v>0.5641025641025641</v>
      </c>
    </row>
    <row r="47" spans="2:24">
      <c r="B47" t="s">
        <v>33</v>
      </c>
      <c r="C47" s="1">
        <f>AVERAGE(C41:C46)</f>
        <v>8.6666666666666661</v>
      </c>
      <c r="D47" s="1">
        <f>AVERAGE(D41:D46)</f>
        <v>9</v>
      </c>
      <c r="E47" s="1">
        <f>AVERAGE(E41:E46)</f>
        <v>9.5</v>
      </c>
      <c r="F47" s="1">
        <f>AVERAGE(F41:F46)</f>
        <v>8.5</v>
      </c>
      <c r="G47" s="1">
        <f>AVERAGE(G41:G46)</f>
        <v>9.1666666666666661</v>
      </c>
      <c r="L47" s="9"/>
      <c r="V47" t="s">
        <v>20</v>
      </c>
      <c r="W47" s="10">
        <f>AVERAGE(W41:W46)</f>
        <v>1.5157407407407408</v>
      </c>
      <c r="X47" s="10">
        <f>AVERAGE(X41:X46)</f>
        <v>0.66966405508072169</v>
      </c>
    </row>
    <row r="48" spans="2:24">
      <c r="B48" t="s">
        <v>30</v>
      </c>
      <c r="C48" s="3">
        <f>AVERAGE(C41:C46)</f>
        <v>8.6666666666666661</v>
      </c>
      <c r="D48" s="3">
        <f>AVERAGE(D41:D46)</f>
        <v>9</v>
      </c>
      <c r="E48" s="3">
        <f>AVERAGE(E41:E46)</f>
        <v>9.5</v>
      </c>
      <c r="F48" s="3">
        <f>AVERAGE(F41:F46)</f>
        <v>8.5</v>
      </c>
      <c r="G48" s="3">
        <f>AVERAGE(G41:G46)</f>
        <v>9.1666666666666661</v>
      </c>
      <c r="L48" s="9"/>
      <c r="V48" t="s">
        <v>21</v>
      </c>
      <c r="W48" s="10">
        <f>STDEV(W41:W46)</f>
        <v>0.20732884050207384</v>
      </c>
      <c r="X48" s="10">
        <f>STDEV(X41:X46)</f>
        <v>8.72728340368807E-2</v>
      </c>
    </row>
    <row r="49" spans="2:24">
      <c r="B49" t="s">
        <v>34</v>
      </c>
      <c r="C49" s="3">
        <f>CONFIDENCE(0.5,C48,6)</f>
        <v>2.3864471579255522</v>
      </c>
      <c r="D49" s="3">
        <f>CONFIDENCE(0.5,D48,6)</f>
        <v>2.4782335870765348</v>
      </c>
      <c r="E49" s="3">
        <f>CONFIDENCE(0.5,E48,6)</f>
        <v>2.6159132308030091</v>
      </c>
      <c r="F49" s="3">
        <f>CONFIDENCE(0.5,F48,6)</f>
        <v>2.3405539433500611</v>
      </c>
      <c r="G49" s="3">
        <f>CONFIDENCE(0.5,G48,6)</f>
        <v>2.5241268016520264</v>
      </c>
      <c r="L49" s="9"/>
      <c r="V49" t="s">
        <v>22</v>
      </c>
      <c r="W49" s="10">
        <f>CONFIDENCE(0.5,W48,6)</f>
        <v>5.7089921789097033E-2</v>
      </c>
      <c r="X49" s="10">
        <f>CONFIDENCE(0.5,X48,6)</f>
        <v>2.4031385394394887E-2</v>
      </c>
    </row>
    <row r="51" spans="2:24">
      <c r="K51" t="s">
        <v>12</v>
      </c>
      <c r="X51" t="s">
        <v>91</v>
      </c>
    </row>
    <row r="52" spans="2:24">
      <c r="C52" t="s">
        <v>35</v>
      </c>
      <c r="K52" t="s">
        <v>77</v>
      </c>
      <c r="L52" s="8" t="s">
        <v>67</v>
      </c>
      <c r="M52" s="8" t="s">
        <v>68</v>
      </c>
      <c r="N52" s="8" t="s">
        <v>69</v>
      </c>
      <c r="O52" s="8" t="s">
        <v>70</v>
      </c>
      <c r="P52" s="8" t="s">
        <v>71</v>
      </c>
      <c r="Q52" s="8" t="s">
        <v>72</v>
      </c>
      <c r="R52" s="8" t="s">
        <v>73</v>
      </c>
      <c r="S52" s="8" t="s">
        <v>74</v>
      </c>
      <c r="T52">
        <v>132</v>
      </c>
      <c r="U52">
        <v>144</v>
      </c>
      <c r="V52" s="8" t="s">
        <v>75</v>
      </c>
      <c r="W52" s="8" t="s">
        <v>88</v>
      </c>
      <c r="X52" s="8" t="s">
        <v>89</v>
      </c>
    </row>
    <row r="53" spans="2:24">
      <c r="C53" t="s">
        <v>24</v>
      </c>
      <c r="D53" t="s">
        <v>25</v>
      </c>
      <c r="E53" t="s">
        <v>26</v>
      </c>
      <c r="F53" t="s">
        <v>27</v>
      </c>
      <c r="G53" t="s">
        <v>28</v>
      </c>
      <c r="K53" s="9">
        <f>(F16-F4)*1</f>
        <v>6</v>
      </c>
      <c r="L53" s="9">
        <f>(F29-F16)*1.5</f>
        <v>0</v>
      </c>
      <c r="M53" s="9">
        <f>(F41-F29)*2</f>
        <v>8</v>
      </c>
      <c r="N53" s="9">
        <f>(F54-F41)*2.5</f>
        <v>0</v>
      </c>
      <c r="O53" s="9">
        <f>(F65-F54)*3</f>
        <v>3</v>
      </c>
      <c r="P53" s="9">
        <f>(F76-F65)*3.5</f>
        <v>0</v>
      </c>
      <c r="Q53" s="9">
        <f>(F87-F76)*4</f>
        <v>0</v>
      </c>
      <c r="R53" s="9">
        <f>(F98-F87)*4.5</f>
        <v>0</v>
      </c>
      <c r="S53" s="9">
        <f>(F111-F98)*5</f>
        <v>0</v>
      </c>
      <c r="T53" s="9">
        <f>(F131-F121)*5.5</f>
        <v>0</v>
      </c>
      <c r="U53" s="9">
        <f>(F131-F121)*6</f>
        <v>0</v>
      </c>
      <c r="V53" s="9">
        <f>SUM(K53:U53)</f>
        <v>17</v>
      </c>
      <c r="W53">
        <f>V53/F131</f>
        <v>1.5454545454545454</v>
      </c>
      <c r="X53">
        <f>1/W53</f>
        <v>0.6470588235294118</v>
      </c>
    </row>
    <row r="54" spans="2:24">
      <c r="B54">
        <v>1</v>
      </c>
      <c r="C54">
        <v>9</v>
      </c>
      <c r="D54">
        <v>10</v>
      </c>
      <c r="E54">
        <v>9</v>
      </c>
      <c r="F54">
        <v>10</v>
      </c>
      <c r="G54">
        <v>11</v>
      </c>
      <c r="K54" s="9">
        <f t="shared" ref="K54:K58" si="42">(F17-F5)*1</f>
        <v>6</v>
      </c>
      <c r="L54" s="9">
        <f t="shared" ref="L54:L58" si="43">(F30-F17)*1.5</f>
        <v>0</v>
      </c>
      <c r="M54" s="9">
        <f t="shared" ref="M54:M58" si="44">(F42-F30)*2</f>
        <v>4</v>
      </c>
      <c r="N54" s="9">
        <f t="shared" ref="N54:N58" si="45">(F55-F42)*2.5</f>
        <v>2.5</v>
      </c>
      <c r="O54" s="9">
        <f t="shared" ref="O54:O58" si="46">(F66-F55)*3</f>
        <v>0</v>
      </c>
      <c r="P54" s="9">
        <f t="shared" ref="P54:P58" si="47">(F77-F66)*3.5</f>
        <v>3.5</v>
      </c>
      <c r="Q54" s="9">
        <f t="shared" ref="Q54:Q58" si="48">(F88-F77)*4</f>
        <v>0</v>
      </c>
      <c r="R54" s="9">
        <f t="shared" ref="R54:R58" si="49">(F99-F88)*4.5</f>
        <v>4.5</v>
      </c>
      <c r="S54" s="9">
        <f t="shared" ref="S54:S58" si="50">(F112-F99)*5</f>
        <v>0</v>
      </c>
      <c r="T54" s="9">
        <f t="shared" ref="T54:T58" si="51">(F132-F122)*5.5</f>
        <v>11</v>
      </c>
      <c r="U54" s="9">
        <f t="shared" ref="U54:U58" si="52">(F132-F122)*6</f>
        <v>12</v>
      </c>
      <c r="V54" s="9">
        <f t="shared" ref="V54:V58" si="53">SUM(K54:U54)</f>
        <v>43.5</v>
      </c>
      <c r="W54">
        <f t="shared" ref="W54:W58" si="54">V54/F132</f>
        <v>3.9545454545454546</v>
      </c>
      <c r="X54">
        <f t="shared" ref="X54:X58" si="55">1/W54</f>
        <v>0.25287356321839083</v>
      </c>
    </row>
    <row r="55" spans="2:24">
      <c r="B55">
        <v>2</v>
      </c>
      <c r="C55">
        <v>10</v>
      </c>
      <c r="D55">
        <v>10</v>
      </c>
      <c r="E55">
        <v>9</v>
      </c>
      <c r="F55">
        <v>9</v>
      </c>
      <c r="G55">
        <v>9</v>
      </c>
      <c r="K55" s="9">
        <f t="shared" si="42"/>
        <v>5</v>
      </c>
      <c r="L55" s="9">
        <f t="shared" si="43"/>
        <v>0</v>
      </c>
      <c r="M55" s="9">
        <f t="shared" si="44"/>
        <v>4</v>
      </c>
      <c r="N55" s="9">
        <f t="shared" si="45"/>
        <v>5</v>
      </c>
      <c r="O55" s="9">
        <f t="shared" si="46"/>
        <v>0</v>
      </c>
      <c r="P55" s="9">
        <f t="shared" si="47"/>
        <v>0</v>
      </c>
      <c r="Q55" s="9">
        <f t="shared" si="48"/>
        <v>0</v>
      </c>
      <c r="R55" s="9">
        <f t="shared" si="49"/>
        <v>0</v>
      </c>
      <c r="S55" s="9">
        <f t="shared" si="50"/>
        <v>0</v>
      </c>
      <c r="T55" s="9">
        <f t="shared" si="51"/>
        <v>0</v>
      </c>
      <c r="U55" s="9">
        <f t="shared" si="52"/>
        <v>0</v>
      </c>
      <c r="V55" s="9">
        <f t="shared" si="53"/>
        <v>14</v>
      </c>
      <c r="W55">
        <f t="shared" si="54"/>
        <v>1.4</v>
      </c>
      <c r="X55">
        <f t="shared" si="55"/>
        <v>0.7142857142857143</v>
      </c>
    </row>
    <row r="56" spans="2:24">
      <c r="B56">
        <v>3</v>
      </c>
      <c r="C56">
        <v>10</v>
      </c>
      <c r="D56">
        <v>9</v>
      </c>
      <c r="E56">
        <v>10</v>
      </c>
      <c r="F56">
        <v>9</v>
      </c>
      <c r="G56">
        <v>9</v>
      </c>
      <c r="K56" s="9">
        <f t="shared" si="42"/>
        <v>5</v>
      </c>
      <c r="L56" s="9">
        <f t="shared" si="43"/>
        <v>0</v>
      </c>
      <c r="M56" s="9">
        <f t="shared" si="44"/>
        <v>8</v>
      </c>
      <c r="N56" s="9">
        <f t="shared" si="45"/>
        <v>5</v>
      </c>
      <c r="O56" s="9">
        <f t="shared" si="46"/>
        <v>0</v>
      </c>
      <c r="P56" s="9">
        <f t="shared" si="47"/>
        <v>0</v>
      </c>
      <c r="Q56" s="9">
        <f t="shared" si="48"/>
        <v>0</v>
      </c>
      <c r="R56" s="9">
        <f t="shared" si="49"/>
        <v>0</v>
      </c>
      <c r="S56" s="9">
        <f t="shared" si="50"/>
        <v>0</v>
      </c>
      <c r="T56" s="9">
        <f t="shared" si="51"/>
        <v>0</v>
      </c>
      <c r="U56" s="9">
        <f t="shared" si="52"/>
        <v>0</v>
      </c>
      <c r="V56" s="9">
        <f t="shared" si="53"/>
        <v>18</v>
      </c>
      <c r="W56">
        <f t="shared" si="54"/>
        <v>1.6363636363636365</v>
      </c>
      <c r="X56">
        <f t="shared" si="55"/>
        <v>0.61111111111111105</v>
      </c>
    </row>
    <row r="57" spans="2:24">
      <c r="B57">
        <v>4</v>
      </c>
      <c r="C57">
        <v>11</v>
      </c>
      <c r="D57">
        <v>8</v>
      </c>
      <c r="E57">
        <v>10</v>
      </c>
      <c r="F57">
        <v>11</v>
      </c>
      <c r="G57">
        <v>9</v>
      </c>
      <c r="K57" s="9">
        <f t="shared" si="42"/>
        <v>7</v>
      </c>
      <c r="L57" s="9">
        <f t="shared" si="43"/>
        <v>0</v>
      </c>
      <c r="M57" s="9">
        <f t="shared" si="44"/>
        <v>6</v>
      </c>
      <c r="N57" s="9">
        <f t="shared" si="45"/>
        <v>2.5</v>
      </c>
      <c r="O57" s="9">
        <f t="shared" si="46"/>
        <v>0</v>
      </c>
      <c r="P57" s="9">
        <f t="shared" si="47"/>
        <v>0</v>
      </c>
      <c r="Q57" s="9">
        <f t="shared" si="48"/>
        <v>0</v>
      </c>
      <c r="R57" s="9">
        <f t="shared" si="49"/>
        <v>0</v>
      </c>
      <c r="S57" s="9">
        <f t="shared" si="50"/>
        <v>0</v>
      </c>
      <c r="T57" s="9">
        <f t="shared" si="51"/>
        <v>0</v>
      </c>
      <c r="U57" s="9">
        <f t="shared" si="52"/>
        <v>0</v>
      </c>
      <c r="V57" s="9">
        <f t="shared" si="53"/>
        <v>15.5</v>
      </c>
      <c r="W57">
        <f t="shared" si="54"/>
        <v>1.4090909090909092</v>
      </c>
      <c r="X57">
        <f t="shared" si="55"/>
        <v>0.70967741935483863</v>
      </c>
    </row>
    <row r="58" spans="2:24">
      <c r="B58">
        <v>5</v>
      </c>
      <c r="C58">
        <v>9</v>
      </c>
      <c r="D58">
        <v>9</v>
      </c>
      <c r="E58">
        <v>10</v>
      </c>
      <c r="F58">
        <v>11</v>
      </c>
      <c r="G58">
        <v>10</v>
      </c>
      <c r="K58" s="9">
        <f t="shared" si="42"/>
        <v>6</v>
      </c>
      <c r="L58" s="9">
        <f t="shared" si="43"/>
        <v>1.5</v>
      </c>
      <c r="M58" s="9">
        <f t="shared" si="44"/>
        <v>0</v>
      </c>
      <c r="N58" s="9">
        <f t="shared" si="45"/>
        <v>5</v>
      </c>
      <c r="O58" s="9">
        <f t="shared" si="46"/>
        <v>6</v>
      </c>
      <c r="P58" s="9">
        <f t="shared" si="47"/>
        <v>0</v>
      </c>
      <c r="Q58" s="9">
        <f t="shared" si="48"/>
        <v>0</v>
      </c>
      <c r="R58" s="9">
        <f t="shared" si="49"/>
        <v>0</v>
      </c>
      <c r="S58" s="9">
        <f t="shared" si="50"/>
        <v>0</v>
      </c>
      <c r="T58" s="9">
        <f t="shared" si="51"/>
        <v>0</v>
      </c>
      <c r="U58" s="9">
        <f t="shared" si="52"/>
        <v>0</v>
      </c>
      <c r="V58" s="9">
        <f t="shared" si="53"/>
        <v>18.5</v>
      </c>
      <c r="W58">
        <f t="shared" si="54"/>
        <v>1.6818181818181819</v>
      </c>
      <c r="X58">
        <f t="shared" si="55"/>
        <v>0.59459459459459463</v>
      </c>
    </row>
    <row r="59" spans="2:24">
      <c r="B59">
        <v>6</v>
      </c>
      <c r="C59">
        <v>10</v>
      </c>
      <c r="D59">
        <v>11</v>
      </c>
      <c r="E59">
        <v>10</v>
      </c>
      <c r="F59">
        <v>9</v>
      </c>
      <c r="G59">
        <v>8</v>
      </c>
      <c r="L59" s="9"/>
      <c r="V59" t="s">
        <v>20</v>
      </c>
      <c r="W59" s="10">
        <f>AVERAGE(W53:W58)</f>
        <v>1.9378787878787878</v>
      </c>
      <c r="X59" s="10">
        <f>AVERAGE(X53:X58)</f>
        <v>0.58826687101567687</v>
      </c>
    </row>
    <row r="60" spans="2:24">
      <c r="B60" t="s">
        <v>29</v>
      </c>
      <c r="C60" s="2">
        <f>AVERAGE(C54:C59)</f>
        <v>9.8333333333333339</v>
      </c>
      <c r="D60" s="2">
        <f>AVERAGE(D54:D59)</f>
        <v>9.5</v>
      </c>
      <c r="E60" s="2">
        <f>AVERAGE(E54:E59)</f>
        <v>9.6666666666666661</v>
      </c>
      <c r="F60" s="2">
        <f>AVERAGE(F54:F59)</f>
        <v>9.8333333333333339</v>
      </c>
      <c r="G60" s="2">
        <f>AVERAGE(G54:G59)</f>
        <v>9.3333333333333339</v>
      </c>
      <c r="L60" s="9"/>
      <c r="V60" t="s">
        <v>21</v>
      </c>
      <c r="W60" s="10">
        <f>STDEV(W53:W58)</f>
        <v>0.99462051680617924</v>
      </c>
      <c r="X60" s="10">
        <f>STDEV(X53:X58)</f>
        <v>0.1715391116299404</v>
      </c>
    </row>
    <row r="61" spans="2:24">
      <c r="L61" s="9"/>
      <c r="V61" t="s">
        <v>22</v>
      </c>
      <c r="W61" s="10">
        <f>CONFIDENCE(0.5,W60,6)</f>
        <v>0.27387799679383273</v>
      </c>
      <c r="X61" s="10">
        <f>CONFIDENCE(0.5,X60,6)</f>
        <v>4.723488754873216E-2</v>
      </c>
    </row>
    <row r="62" spans="2:24">
      <c r="K62" t="s">
        <v>13</v>
      </c>
      <c r="X62" t="s">
        <v>91</v>
      </c>
    </row>
    <row r="63" spans="2:24">
      <c r="C63" t="s">
        <v>36</v>
      </c>
      <c r="K63" t="s">
        <v>77</v>
      </c>
      <c r="L63" s="8" t="s">
        <v>67</v>
      </c>
      <c r="M63" s="8" t="s">
        <v>68</v>
      </c>
      <c r="N63" s="8" t="s">
        <v>69</v>
      </c>
      <c r="O63" s="8" t="s">
        <v>70</v>
      </c>
      <c r="P63" s="8" t="s">
        <v>71</v>
      </c>
      <c r="Q63" s="8" t="s">
        <v>72</v>
      </c>
      <c r="R63" s="8" t="s">
        <v>73</v>
      </c>
      <c r="S63" s="8" t="s">
        <v>74</v>
      </c>
      <c r="T63">
        <v>132</v>
      </c>
      <c r="U63">
        <v>144</v>
      </c>
      <c r="V63" s="8" t="s">
        <v>75</v>
      </c>
      <c r="W63" s="8" t="s">
        <v>88</v>
      </c>
      <c r="X63" s="8" t="s">
        <v>89</v>
      </c>
    </row>
    <row r="64" spans="2:24">
      <c r="C64" t="s">
        <v>24</v>
      </c>
      <c r="D64" t="s">
        <v>25</v>
      </c>
      <c r="E64" t="s">
        <v>26</v>
      </c>
      <c r="F64" t="s">
        <v>27</v>
      </c>
      <c r="G64" t="s">
        <v>28</v>
      </c>
      <c r="K64" s="9">
        <f>(G16-G4)*1</f>
        <v>7</v>
      </c>
      <c r="L64" s="9">
        <f>(G29-G16)*1.5</f>
        <v>0</v>
      </c>
      <c r="M64" s="9">
        <f>(G41-G29)*2</f>
        <v>8</v>
      </c>
      <c r="N64" s="9">
        <f>(G54-G41)*2.5</f>
        <v>0</v>
      </c>
      <c r="O64" s="9">
        <f>(G65-G54)*3</f>
        <v>0</v>
      </c>
      <c r="P64" s="9">
        <f>(G76-G65)*3.5</f>
        <v>0</v>
      </c>
      <c r="Q64" s="9">
        <f>(G87-G76)*4</f>
        <v>0</v>
      </c>
      <c r="R64" s="9">
        <f>(G98-G87)*4.5</f>
        <v>0</v>
      </c>
      <c r="S64" s="9">
        <f>(G111-G98)*5</f>
        <v>0</v>
      </c>
      <c r="T64" s="9">
        <f>(G131-G121)*5.5</f>
        <v>0</v>
      </c>
      <c r="U64" s="9">
        <f>(G131-G121)*6</f>
        <v>0</v>
      </c>
      <c r="V64" s="9">
        <f>SUM(K64:U64)</f>
        <v>15</v>
      </c>
      <c r="W64">
        <f>V64/G131</f>
        <v>1.3636363636363635</v>
      </c>
      <c r="X64">
        <f>1/W64</f>
        <v>0.73333333333333339</v>
      </c>
    </row>
    <row r="65" spans="2:24">
      <c r="B65">
        <v>1</v>
      </c>
      <c r="C65">
        <v>9</v>
      </c>
      <c r="D65">
        <v>10</v>
      </c>
      <c r="E65">
        <v>9</v>
      </c>
      <c r="F65">
        <v>11</v>
      </c>
      <c r="G65">
        <v>11</v>
      </c>
      <c r="K65" s="9">
        <f t="shared" ref="K65:K69" si="56">(G17-G5)*1</f>
        <v>4</v>
      </c>
      <c r="L65" s="9">
        <f t="shared" ref="L65:L69" si="57">(G30-G17)*1.5</f>
        <v>0</v>
      </c>
      <c r="M65" s="9">
        <f t="shared" ref="M65:M69" si="58">(G42-G30)*2</f>
        <v>8</v>
      </c>
      <c r="N65" s="9">
        <f t="shared" ref="N65:N69" si="59">(G55-G42)*2.5</f>
        <v>2.5</v>
      </c>
      <c r="O65" s="9">
        <f t="shared" ref="O65:O69" si="60">(G66-G55)*3</f>
        <v>0</v>
      </c>
      <c r="P65" s="9">
        <f t="shared" ref="P65:P69" si="61">(G77-G66)*3.5</f>
        <v>0</v>
      </c>
      <c r="Q65" s="9">
        <f t="shared" ref="Q65:Q69" si="62">(G88-G77)*4</f>
        <v>4</v>
      </c>
      <c r="R65" s="9">
        <f t="shared" ref="R65:R69" si="63">(G99-G88)*4.5</f>
        <v>0</v>
      </c>
      <c r="S65" s="9">
        <f t="shared" ref="S65:S69" si="64">(G112-G99)*5</f>
        <v>0</v>
      </c>
      <c r="T65" s="9">
        <f t="shared" ref="T65:T69" si="65">(G132-G122)*5.5</f>
        <v>0</v>
      </c>
      <c r="U65" s="9">
        <f t="shared" ref="U65:U69" si="66">(G132-G122)*6</f>
        <v>0</v>
      </c>
      <c r="V65" s="9">
        <f t="shared" ref="V65:V69" si="67">SUM(K65:U65)</f>
        <v>18.5</v>
      </c>
      <c r="W65">
        <f t="shared" ref="W65:W69" si="68">V65/G132</f>
        <v>1.85</v>
      </c>
      <c r="X65">
        <f t="shared" ref="X65:X69" si="69">1/W65</f>
        <v>0.54054054054054046</v>
      </c>
    </row>
    <row r="66" spans="2:24">
      <c r="B66">
        <v>2</v>
      </c>
      <c r="C66">
        <v>10</v>
      </c>
      <c r="D66">
        <v>10</v>
      </c>
      <c r="E66">
        <v>9</v>
      </c>
      <c r="F66">
        <v>9</v>
      </c>
      <c r="G66">
        <v>9</v>
      </c>
      <c r="K66" s="9">
        <f t="shared" si="56"/>
        <v>8</v>
      </c>
      <c r="L66" s="9">
        <f t="shared" si="57"/>
        <v>0</v>
      </c>
      <c r="M66" s="9">
        <f t="shared" si="58"/>
        <v>2</v>
      </c>
      <c r="N66" s="9">
        <f t="shared" si="59"/>
        <v>0</v>
      </c>
      <c r="O66" s="9">
        <f t="shared" si="60"/>
        <v>0</v>
      </c>
      <c r="P66" s="9">
        <f t="shared" si="61"/>
        <v>0</v>
      </c>
      <c r="Q66" s="9">
        <f t="shared" si="62"/>
        <v>4</v>
      </c>
      <c r="R66" s="9">
        <f t="shared" si="63"/>
        <v>0</v>
      </c>
      <c r="S66" s="9">
        <f t="shared" si="64"/>
        <v>0</v>
      </c>
      <c r="T66" s="9">
        <f t="shared" si="65"/>
        <v>0</v>
      </c>
      <c r="U66" s="9">
        <f t="shared" si="66"/>
        <v>0</v>
      </c>
      <c r="V66" s="9">
        <f t="shared" si="67"/>
        <v>14</v>
      </c>
      <c r="W66">
        <f t="shared" si="68"/>
        <v>1.4</v>
      </c>
      <c r="X66">
        <f t="shared" si="69"/>
        <v>0.7142857142857143</v>
      </c>
    </row>
    <row r="67" spans="2:24">
      <c r="B67">
        <v>3</v>
      </c>
      <c r="C67">
        <v>10</v>
      </c>
      <c r="D67">
        <v>11</v>
      </c>
      <c r="E67">
        <v>10</v>
      </c>
      <c r="F67">
        <v>9</v>
      </c>
      <c r="G67">
        <v>9</v>
      </c>
      <c r="K67" s="9">
        <f t="shared" si="56"/>
        <v>7</v>
      </c>
      <c r="L67" s="9">
        <f t="shared" si="57"/>
        <v>0</v>
      </c>
      <c r="M67" s="9">
        <f t="shared" si="58"/>
        <v>4</v>
      </c>
      <c r="N67" s="9">
        <f t="shared" si="59"/>
        <v>0</v>
      </c>
      <c r="O67" s="9">
        <f t="shared" si="60"/>
        <v>0</v>
      </c>
      <c r="P67" s="9">
        <f t="shared" si="61"/>
        <v>0</v>
      </c>
      <c r="Q67" s="9">
        <f t="shared" si="62"/>
        <v>0</v>
      </c>
      <c r="R67" s="9">
        <f t="shared" si="63"/>
        <v>0</v>
      </c>
      <c r="S67" s="9">
        <f t="shared" si="64"/>
        <v>0</v>
      </c>
      <c r="T67" s="9">
        <f t="shared" si="65"/>
        <v>0</v>
      </c>
      <c r="U67" s="9">
        <f t="shared" si="66"/>
        <v>0</v>
      </c>
      <c r="V67" s="9">
        <f t="shared" si="67"/>
        <v>11</v>
      </c>
      <c r="W67">
        <f t="shared" si="68"/>
        <v>1.2222222222222223</v>
      </c>
      <c r="X67">
        <f t="shared" si="69"/>
        <v>0.81818181818181812</v>
      </c>
    </row>
    <row r="68" spans="2:24">
      <c r="B68">
        <v>4</v>
      </c>
      <c r="C68">
        <v>11</v>
      </c>
      <c r="D68">
        <v>9</v>
      </c>
      <c r="E68">
        <v>10</v>
      </c>
      <c r="F68">
        <v>11</v>
      </c>
      <c r="G68">
        <v>9</v>
      </c>
      <c r="K68" s="9">
        <f t="shared" si="56"/>
        <v>8</v>
      </c>
      <c r="L68" s="9">
        <f t="shared" si="57"/>
        <v>0</v>
      </c>
      <c r="M68" s="9">
        <f t="shared" si="58"/>
        <v>4</v>
      </c>
      <c r="N68" s="9">
        <f t="shared" si="59"/>
        <v>0</v>
      </c>
      <c r="O68" s="9">
        <f t="shared" si="60"/>
        <v>0</v>
      </c>
      <c r="P68" s="9">
        <f t="shared" si="61"/>
        <v>0</v>
      </c>
      <c r="Q68" s="9">
        <f t="shared" si="62"/>
        <v>0</v>
      </c>
      <c r="R68" s="9">
        <f t="shared" si="63"/>
        <v>0</v>
      </c>
      <c r="S68" s="9">
        <f t="shared" si="64"/>
        <v>0</v>
      </c>
      <c r="T68" s="9">
        <f t="shared" si="65"/>
        <v>0</v>
      </c>
      <c r="U68" s="9">
        <f t="shared" si="66"/>
        <v>0</v>
      </c>
      <c r="V68" s="9">
        <f t="shared" si="67"/>
        <v>12</v>
      </c>
      <c r="W68">
        <f t="shared" si="68"/>
        <v>1.2</v>
      </c>
      <c r="X68">
        <f t="shared" si="69"/>
        <v>0.83333333333333337</v>
      </c>
    </row>
    <row r="69" spans="2:24">
      <c r="B69">
        <v>5</v>
      </c>
      <c r="C69">
        <v>10</v>
      </c>
      <c r="D69">
        <v>9</v>
      </c>
      <c r="E69">
        <v>10</v>
      </c>
      <c r="F69">
        <v>11</v>
      </c>
      <c r="G69">
        <v>10</v>
      </c>
      <c r="K69" s="9">
        <f t="shared" si="56"/>
        <v>5</v>
      </c>
      <c r="L69" s="9">
        <f t="shared" si="57"/>
        <v>0</v>
      </c>
      <c r="M69" s="9">
        <f t="shared" si="58"/>
        <v>6</v>
      </c>
      <c r="N69" s="9">
        <f t="shared" si="59"/>
        <v>0</v>
      </c>
      <c r="O69" s="9">
        <f t="shared" si="60"/>
        <v>3</v>
      </c>
      <c r="P69" s="9">
        <f t="shared" si="61"/>
        <v>0</v>
      </c>
      <c r="Q69" s="9">
        <f t="shared" si="62"/>
        <v>0</v>
      </c>
      <c r="R69" s="9">
        <f t="shared" si="63"/>
        <v>4.5</v>
      </c>
      <c r="S69" s="9">
        <f t="shared" si="64"/>
        <v>0</v>
      </c>
      <c r="T69" s="9">
        <f t="shared" si="65"/>
        <v>0</v>
      </c>
      <c r="U69" s="9">
        <f t="shared" si="66"/>
        <v>0</v>
      </c>
      <c r="V69" s="9">
        <f t="shared" si="67"/>
        <v>18.5</v>
      </c>
      <c r="W69">
        <f t="shared" si="68"/>
        <v>1.85</v>
      </c>
      <c r="X69">
        <f t="shared" si="69"/>
        <v>0.54054054054054046</v>
      </c>
    </row>
    <row r="70" spans="2:24">
      <c r="B70">
        <v>6</v>
      </c>
      <c r="C70">
        <v>10</v>
      </c>
      <c r="D70">
        <v>11</v>
      </c>
      <c r="E70">
        <v>10</v>
      </c>
      <c r="F70">
        <v>11</v>
      </c>
      <c r="G70">
        <v>9</v>
      </c>
      <c r="L70" s="9"/>
      <c r="V70" t="s">
        <v>20</v>
      </c>
      <c r="W70" s="10">
        <f>AVERAGE(W64:W69)</f>
        <v>1.4809764309764308</v>
      </c>
      <c r="X70" s="10">
        <f>AVERAGE(X64:X69)</f>
        <v>0.69670254670254683</v>
      </c>
    </row>
    <row r="71" spans="2:24">
      <c r="B71" t="s">
        <v>29</v>
      </c>
      <c r="C71">
        <f>AVERAGE(C65:C70)</f>
        <v>10</v>
      </c>
      <c r="D71">
        <f>AVERAGE(D65:D70)</f>
        <v>10</v>
      </c>
      <c r="E71" s="2">
        <f>AVERAGE(E65:E70)</f>
        <v>9.6666666666666661</v>
      </c>
      <c r="F71" s="2">
        <f>AVERAGE(F65:F70)</f>
        <v>10.333333333333334</v>
      </c>
      <c r="G71" s="2">
        <f>AVERAGE(G65:G70)</f>
        <v>9.5</v>
      </c>
      <c r="L71" s="9"/>
      <c r="V71" t="s">
        <v>21</v>
      </c>
      <c r="W71" s="10">
        <f>STDEV(W64:W69)</f>
        <v>0.29617027469991231</v>
      </c>
      <c r="X71" s="10">
        <f>STDEV(X64:X69)</f>
        <v>0.12949850339136307</v>
      </c>
    </row>
    <row r="72" spans="2:24">
      <c r="L72" s="9"/>
      <c r="V72" t="s">
        <v>22</v>
      </c>
      <c r="W72" s="10">
        <f>CONFIDENCE(0.5,W71,6)</f>
        <v>8.1553235806111832E-2</v>
      </c>
      <c r="X72" s="10">
        <f>CONFIDENCE(0.5,X71,6)</f>
        <v>3.5658615620068952E-2</v>
      </c>
    </row>
    <row r="74" spans="2:24">
      <c r="C74" t="s">
        <v>37</v>
      </c>
    </row>
    <row r="75" spans="2:24">
      <c r="C75" t="s">
        <v>24</v>
      </c>
      <c r="D75" t="s">
        <v>25</v>
      </c>
      <c r="E75" t="s">
        <v>26</v>
      </c>
      <c r="F75" t="s">
        <v>27</v>
      </c>
      <c r="G75" t="s">
        <v>28</v>
      </c>
    </row>
    <row r="76" spans="2:24">
      <c r="B76">
        <v>1</v>
      </c>
      <c r="C76">
        <v>9</v>
      </c>
      <c r="D76">
        <v>10</v>
      </c>
      <c r="E76">
        <v>10</v>
      </c>
      <c r="F76">
        <v>11</v>
      </c>
      <c r="G76">
        <v>11</v>
      </c>
    </row>
    <row r="77" spans="2:24">
      <c r="B77">
        <v>2</v>
      </c>
      <c r="C77">
        <v>10</v>
      </c>
      <c r="D77">
        <v>11</v>
      </c>
      <c r="E77">
        <v>9</v>
      </c>
      <c r="F77">
        <v>10</v>
      </c>
      <c r="G77">
        <v>9</v>
      </c>
    </row>
    <row r="78" spans="2:24">
      <c r="B78">
        <v>3</v>
      </c>
      <c r="C78">
        <v>11</v>
      </c>
      <c r="D78">
        <v>12</v>
      </c>
      <c r="E78">
        <v>10</v>
      </c>
      <c r="F78">
        <v>9</v>
      </c>
      <c r="G78">
        <v>9</v>
      </c>
    </row>
    <row r="79" spans="2:24">
      <c r="B79">
        <v>4</v>
      </c>
      <c r="C79">
        <v>11</v>
      </c>
      <c r="D79">
        <v>10</v>
      </c>
      <c r="E79">
        <v>10</v>
      </c>
      <c r="F79">
        <v>11</v>
      </c>
      <c r="G79">
        <v>9</v>
      </c>
    </row>
    <row r="80" spans="2:24">
      <c r="B80">
        <v>5</v>
      </c>
      <c r="C80">
        <v>10</v>
      </c>
      <c r="D80">
        <v>10</v>
      </c>
      <c r="E80">
        <v>10</v>
      </c>
      <c r="F80">
        <v>11</v>
      </c>
      <c r="G80">
        <v>10</v>
      </c>
    </row>
    <row r="81" spans="2:7">
      <c r="B81">
        <v>6</v>
      </c>
      <c r="C81">
        <v>10</v>
      </c>
      <c r="D81">
        <v>11</v>
      </c>
      <c r="E81">
        <v>11</v>
      </c>
      <c r="F81">
        <v>11</v>
      </c>
      <c r="G81">
        <v>9</v>
      </c>
    </row>
    <row r="82" spans="2:7">
      <c r="B82" t="s">
        <v>29</v>
      </c>
      <c r="C82" s="2">
        <f>AVERAGE(C76:C81)</f>
        <v>10.166666666666666</v>
      </c>
      <c r="D82" s="2">
        <f>AVERAGE(D76:D81)</f>
        <v>10.666666666666666</v>
      </c>
      <c r="E82" s="2">
        <f>AVERAGE(E76:E81)</f>
        <v>10</v>
      </c>
      <c r="F82" s="2">
        <f>AVERAGE(F76:F81)</f>
        <v>10.5</v>
      </c>
      <c r="G82" s="2">
        <f>AVERAGE(G76:G81)</f>
        <v>9.5</v>
      </c>
    </row>
    <row r="85" spans="2:7">
      <c r="C85" t="s">
        <v>38</v>
      </c>
    </row>
    <row r="86" spans="2:7">
      <c r="C86" t="s">
        <v>39</v>
      </c>
      <c r="D86" t="s">
        <v>25</v>
      </c>
      <c r="E86" t="s">
        <v>26</v>
      </c>
      <c r="F86" t="s">
        <v>27</v>
      </c>
      <c r="G86" t="s">
        <v>28</v>
      </c>
    </row>
    <row r="87" spans="2:7">
      <c r="B87">
        <v>1</v>
      </c>
      <c r="C87">
        <v>9</v>
      </c>
      <c r="D87">
        <v>10</v>
      </c>
      <c r="E87">
        <v>11</v>
      </c>
      <c r="F87">
        <v>11</v>
      </c>
      <c r="G87">
        <v>11</v>
      </c>
    </row>
    <row r="88" spans="2:7">
      <c r="B88">
        <v>2</v>
      </c>
      <c r="C88">
        <v>10</v>
      </c>
      <c r="D88">
        <v>11</v>
      </c>
      <c r="E88">
        <v>9</v>
      </c>
      <c r="F88">
        <v>10</v>
      </c>
      <c r="G88">
        <v>10</v>
      </c>
    </row>
    <row r="89" spans="2:7">
      <c r="B89">
        <v>3</v>
      </c>
      <c r="C89">
        <v>12</v>
      </c>
      <c r="D89">
        <v>12</v>
      </c>
      <c r="E89">
        <v>10</v>
      </c>
      <c r="F89">
        <v>9</v>
      </c>
      <c r="G89">
        <v>10</v>
      </c>
    </row>
    <row r="90" spans="2:7">
      <c r="B90">
        <v>4</v>
      </c>
      <c r="C90">
        <v>11</v>
      </c>
      <c r="D90">
        <v>10</v>
      </c>
      <c r="E90">
        <v>10</v>
      </c>
      <c r="F90">
        <v>11</v>
      </c>
      <c r="G90">
        <v>9</v>
      </c>
    </row>
    <row r="91" spans="2:7">
      <c r="B91">
        <v>5</v>
      </c>
      <c r="C91">
        <v>11</v>
      </c>
      <c r="D91">
        <v>10</v>
      </c>
      <c r="E91">
        <v>11</v>
      </c>
      <c r="F91">
        <v>11</v>
      </c>
      <c r="G91">
        <v>10</v>
      </c>
    </row>
    <row r="92" spans="2:7">
      <c r="B92">
        <v>6</v>
      </c>
      <c r="C92">
        <v>11</v>
      </c>
      <c r="D92">
        <v>11</v>
      </c>
      <c r="E92">
        <v>11</v>
      </c>
      <c r="F92">
        <v>11</v>
      </c>
      <c r="G92">
        <v>9</v>
      </c>
    </row>
    <row r="93" spans="2:7">
      <c r="B93" t="s">
        <v>29</v>
      </c>
      <c r="C93" s="2">
        <f>AVERAGE(C87:C92)</f>
        <v>10.666666666666666</v>
      </c>
      <c r="D93" s="2">
        <f>AVERAGE(D87:D92)</f>
        <v>10.666666666666666</v>
      </c>
      <c r="E93" s="2">
        <f>AVERAGE(E87:E92)</f>
        <v>10.333333333333334</v>
      </c>
      <c r="F93" s="2">
        <f>AVERAGE(F87:F92)</f>
        <v>10.5</v>
      </c>
      <c r="G93" s="2">
        <f>AVERAGE(G87:G92)</f>
        <v>9.8333333333333339</v>
      </c>
    </row>
    <row r="94" spans="2:7">
      <c r="B94" t="s">
        <v>30</v>
      </c>
      <c r="C94" s="1">
        <f>STDEV(C87:C92)</f>
        <v>1.0327955589886482</v>
      </c>
      <c r="D94" s="1">
        <f>STDEV(D87:D92)</f>
        <v>0.8164965809277307</v>
      </c>
      <c r="E94" s="1">
        <f>STDEV(E87:E92)</f>
        <v>0.8164965809277307</v>
      </c>
      <c r="F94" s="1">
        <f>STDEV(F87:F92)</f>
        <v>0.83666002653407556</v>
      </c>
      <c r="G94" s="1">
        <f>STDEV(G87:G92)</f>
        <v>0.752772652709086</v>
      </c>
    </row>
    <row r="95" spans="2:7">
      <c r="B95" t="s">
        <v>40</v>
      </c>
      <c r="C95" s="1">
        <f>CONFIDENCE(0.5,C94,6)</f>
        <v>0.28438984920768368</v>
      </c>
      <c r="D95" s="1">
        <f>CONFIDENCE(0.5,D94,6)</f>
        <v>0.22482991673202848</v>
      </c>
      <c r="E95" s="1">
        <f>CONFIDENCE(0.5,E94,6)</f>
        <v>0.22482991673202848</v>
      </c>
      <c r="F95" s="1">
        <f>CONFIDENCE(0.5,F94,6)</f>
        <v>0.23038210874678791</v>
      </c>
      <c r="G95" s="1">
        <f>CONFIDENCE(0.5,G94,6)</f>
        <v>0.20728294126403968</v>
      </c>
    </row>
    <row r="96" spans="2:7">
      <c r="C96" t="s">
        <v>41</v>
      </c>
    </row>
    <row r="97" spans="2:7">
      <c r="C97" t="s">
        <v>39</v>
      </c>
      <c r="D97" t="s">
        <v>25</v>
      </c>
      <c r="E97" t="s">
        <v>26</v>
      </c>
      <c r="F97" t="s">
        <v>27</v>
      </c>
      <c r="G97" t="s">
        <v>28</v>
      </c>
    </row>
    <row r="98" spans="2:7">
      <c r="B98">
        <v>1</v>
      </c>
      <c r="C98">
        <v>9</v>
      </c>
      <c r="D98">
        <v>10</v>
      </c>
      <c r="E98">
        <v>11</v>
      </c>
      <c r="F98">
        <v>11</v>
      </c>
      <c r="G98">
        <v>11</v>
      </c>
    </row>
    <row r="99" spans="2:7">
      <c r="B99">
        <v>2</v>
      </c>
      <c r="C99">
        <v>10</v>
      </c>
      <c r="D99">
        <v>11</v>
      </c>
      <c r="E99">
        <v>9</v>
      </c>
      <c r="F99">
        <v>11</v>
      </c>
      <c r="G99">
        <v>10</v>
      </c>
    </row>
    <row r="100" spans="2:7">
      <c r="B100">
        <v>3</v>
      </c>
      <c r="C100">
        <v>12</v>
      </c>
      <c r="D100">
        <v>12</v>
      </c>
      <c r="E100">
        <v>10</v>
      </c>
      <c r="F100">
        <v>9</v>
      </c>
      <c r="G100">
        <v>10</v>
      </c>
    </row>
    <row r="101" spans="2:7">
      <c r="B101">
        <v>4</v>
      </c>
      <c r="C101">
        <v>11</v>
      </c>
      <c r="D101">
        <v>10</v>
      </c>
      <c r="E101">
        <v>10</v>
      </c>
      <c r="F101">
        <v>11</v>
      </c>
      <c r="G101">
        <v>9</v>
      </c>
    </row>
    <row r="102" spans="2:7">
      <c r="B102">
        <v>5</v>
      </c>
      <c r="C102">
        <v>11</v>
      </c>
      <c r="D102">
        <v>10</v>
      </c>
      <c r="E102">
        <v>11</v>
      </c>
      <c r="F102">
        <v>11</v>
      </c>
      <c r="G102">
        <v>10</v>
      </c>
    </row>
    <row r="103" spans="2:7">
      <c r="B103">
        <v>6</v>
      </c>
      <c r="C103">
        <v>11</v>
      </c>
      <c r="D103">
        <v>11</v>
      </c>
      <c r="E103">
        <v>11</v>
      </c>
      <c r="F103">
        <v>11</v>
      </c>
      <c r="G103">
        <v>10</v>
      </c>
    </row>
    <row r="104" spans="2:7">
      <c r="B104" t="s">
        <v>33</v>
      </c>
      <c r="C104" s="2">
        <f>AVERAGE(C98:C103)</f>
        <v>10.666666666666666</v>
      </c>
      <c r="D104" s="2">
        <f>AVERAGE(D98:D103)</f>
        <v>10.666666666666666</v>
      </c>
      <c r="E104" s="2">
        <f>AVERAGE(E98:E103)</f>
        <v>10.333333333333334</v>
      </c>
      <c r="F104" s="2">
        <f>AVERAGE(F98:F103)</f>
        <v>10.666666666666666</v>
      </c>
      <c r="G104" s="2">
        <f>AVERAGE(G98:G103)</f>
        <v>10</v>
      </c>
    </row>
    <row r="109" spans="2:7">
      <c r="C109" t="s">
        <v>42</v>
      </c>
    </row>
    <row r="110" spans="2:7">
      <c r="C110" t="s">
        <v>24</v>
      </c>
      <c r="D110" t="s">
        <v>25</v>
      </c>
      <c r="E110" t="s">
        <v>26</v>
      </c>
      <c r="F110" t="s">
        <v>27</v>
      </c>
      <c r="G110" t="s">
        <v>28</v>
      </c>
    </row>
    <row r="111" spans="2:7">
      <c r="B111">
        <v>1</v>
      </c>
      <c r="C111">
        <v>9</v>
      </c>
      <c r="D111">
        <v>10</v>
      </c>
      <c r="E111">
        <v>11</v>
      </c>
      <c r="F111">
        <v>11</v>
      </c>
      <c r="G111">
        <v>11</v>
      </c>
    </row>
    <row r="112" spans="2:7">
      <c r="B112">
        <v>2</v>
      </c>
      <c r="C112">
        <v>10</v>
      </c>
      <c r="D112">
        <v>11</v>
      </c>
      <c r="E112">
        <v>9</v>
      </c>
      <c r="F112">
        <v>11</v>
      </c>
      <c r="G112">
        <v>10</v>
      </c>
    </row>
    <row r="113" spans="2:7">
      <c r="B113">
        <v>3</v>
      </c>
      <c r="C113">
        <v>12</v>
      </c>
      <c r="D113">
        <v>12</v>
      </c>
      <c r="E113">
        <v>10</v>
      </c>
      <c r="F113">
        <v>9</v>
      </c>
      <c r="G113">
        <v>10</v>
      </c>
    </row>
    <row r="114" spans="2:7">
      <c r="B114">
        <v>4</v>
      </c>
      <c r="C114">
        <v>11</v>
      </c>
      <c r="D114">
        <v>10</v>
      </c>
      <c r="E114">
        <v>10</v>
      </c>
      <c r="F114">
        <v>11</v>
      </c>
      <c r="G114">
        <v>9</v>
      </c>
    </row>
    <row r="115" spans="2:7">
      <c r="B115">
        <v>5</v>
      </c>
      <c r="C115">
        <v>11</v>
      </c>
      <c r="D115">
        <v>10</v>
      </c>
      <c r="E115">
        <v>11</v>
      </c>
      <c r="F115">
        <v>11</v>
      </c>
      <c r="G115">
        <v>10</v>
      </c>
    </row>
    <row r="116" spans="2:7">
      <c r="B116">
        <v>6</v>
      </c>
      <c r="C116">
        <v>11</v>
      </c>
      <c r="D116">
        <v>11</v>
      </c>
      <c r="E116">
        <v>11</v>
      </c>
      <c r="F116">
        <v>11</v>
      </c>
      <c r="G116">
        <v>10</v>
      </c>
    </row>
    <row r="117" spans="2:7">
      <c r="B117" t="s">
        <v>29</v>
      </c>
      <c r="C117" s="2">
        <f>AVERAGE(C111:C116)</f>
        <v>10.666666666666666</v>
      </c>
      <c r="D117" s="2">
        <f>AVERAGE(D111:D116)</f>
        <v>10.666666666666666</v>
      </c>
      <c r="E117" s="2">
        <f>AVERAGE(E111:E116)</f>
        <v>10.333333333333334</v>
      </c>
      <c r="F117" s="2">
        <f>AVERAGE(F111:F116)</f>
        <v>10.666666666666666</v>
      </c>
      <c r="G117" s="2">
        <f>AVERAGE(G111:G116)</f>
        <v>10</v>
      </c>
    </row>
    <row r="119" spans="2:7">
      <c r="C119" t="s">
        <v>43</v>
      </c>
    </row>
    <row r="120" spans="2:7">
      <c r="C120" t="s">
        <v>24</v>
      </c>
      <c r="D120" t="s">
        <v>25</v>
      </c>
      <c r="E120" t="s">
        <v>26</v>
      </c>
      <c r="F120" t="s">
        <v>27</v>
      </c>
      <c r="G120" t="s">
        <v>28</v>
      </c>
    </row>
    <row r="121" spans="2:7">
      <c r="B121">
        <v>1</v>
      </c>
      <c r="C121">
        <v>9</v>
      </c>
      <c r="D121">
        <v>10</v>
      </c>
      <c r="E121">
        <v>11</v>
      </c>
      <c r="F121">
        <v>11</v>
      </c>
      <c r="G121">
        <v>11</v>
      </c>
    </row>
    <row r="122" spans="2:7">
      <c r="B122">
        <v>2</v>
      </c>
      <c r="C122">
        <v>10</v>
      </c>
      <c r="D122">
        <v>11</v>
      </c>
      <c r="E122">
        <v>9</v>
      </c>
      <c r="F122">
        <v>9</v>
      </c>
      <c r="G122">
        <v>10</v>
      </c>
    </row>
    <row r="123" spans="2:7">
      <c r="B123">
        <v>3</v>
      </c>
      <c r="C123">
        <v>12</v>
      </c>
      <c r="D123">
        <v>12</v>
      </c>
      <c r="E123">
        <v>10</v>
      </c>
      <c r="F123">
        <v>10</v>
      </c>
      <c r="G123">
        <v>10</v>
      </c>
    </row>
    <row r="124" spans="2:7">
      <c r="B124">
        <v>4</v>
      </c>
      <c r="C124">
        <v>11</v>
      </c>
      <c r="D124">
        <v>10</v>
      </c>
      <c r="E124">
        <v>10</v>
      </c>
      <c r="F124">
        <v>11</v>
      </c>
      <c r="G124">
        <v>9</v>
      </c>
    </row>
    <row r="125" spans="2:7">
      <c r="B125">
        <v>5</v>
      </c>
      <c r="C125">
        <v>11</v>
      </c>
      <c r="D125">
        <v>10</v>
      </c>
      <c r="E125">
        <v>11</v>
      </c>
      <c r="F125">
        <v>11</v>
      </c>
      <c r="G125">
        <v>10</v>
      </c>
    </row>
    <row r="126" spans="2:7">
      <c r="B126">
        <v>6</v>
      </c>
      <c r="C126">
        <v>11</v>
      </c>
      <c r="D126">
        <v>11</v>
      </c>
      <c r="E126">
        <v>11</v>
      </c>
      <c r="F126">
        <v>11</v>
      </c>
      <c r="G126">
        <v>10</v>
      </c>
    </row>
    <row r="127" spans="2:7">
      <c r="B127" t="s">
        <v>29</v>
      </c>
      <c r="C127" s="2">
        <f>AVERAGE(C121:C126)</f>
        <v>10.666666666666666</v>
      </c>
      <c r="D127" s="2">
        <f>AVERAGE(D121:D126)</f>
        <v>10.666666666666666</v>
      </c>
      <c r="E127" s="2">
        <f>AVERAGE(E121:E126)</f>
        <v>10.333333333333334</v>
      </c>
      <c r="F127" s="2">
        <f>AVERAGE(F121:F126)</f>
        <v>10.5</v>
      </c>
      <c r="G127">
        <f>AVERAGE(G121:G126)</f>
        <v>10</v>
      </c>
    </row>
    <row r="129" spans="2:7">
      <c r="C129" t="s">
        <v>44</v>
      </c>
    </row>
    <row r="130" spans="2:7">
      <c r="C130" t="s">
        <v>24</v>
      </c>
      <c r="D130" t="s">
        <v>25</v>
      </c>
      <c r="E130" t="s">
        <v>26</v>
      </c>
      <c r="F130" t="s">
        <v>27</v>
      </c>
      <c r="G130" t="s">
        <v>28</v>
      </c>
    </row>
    <row r="131" spans="2:7">
      <c r="B131">
        <v>1</v>
      </c>
      <c r="C131">
        <v>9</v>
      </c>
      <c r="D131">
        <v>10</v>
      </c>
      <c r="E131">
        <v>11</v>
      </c>
      <c r="F131">
        <v>11</v>
      </c>
      <c r="G131">
        <v>11</v>
      </c>
    </row>
    <row r="132" spans="2:7">
      <c r="B132">
        <v>2</v>
      </c>
      <c r="C132">
        <v>10</v>
      </c>
      <c r="D132">
        <v>11</v>
      </c>
      <c r="E132">
        <v>9</v>
      </c>
      <c r="F132">
        <v>11</v>
      </c>
      <c r="G132">
        <v>10</v>
      </c>
    </row>
    <row r="133" spans="2:7">
      <c r="B133">
        <v>3</v>
      </c>
      <c r="C133">
        <v>12</v>
      </c>
      <c r="D133">
        <v>12</v>
      </c>
      <c r="E133">
        <v>10</v>
      </c>
      <c r="F133">
        <v>10</v>
      </c>
      <c r="G133">
        <v>10</v>
      </c>
    </row>
    <row r="134" spans="2:7">
      <c r="B134">
        <v>4</v>
      </c>
      <c r="C134">
        <v>11</v>
      </c>
      <c r="D134">
        <v>10</v>
      </c>
      <c r="E134">
        <v>10</v>
      </c>
      <c r="F134">
        <v>11</v>
      </c>
      <c r="G134">
        <v>9</v>
      </c>
    </row>
    <row r="135" spans="2:7">
      <c r="B135">
        <v>5</v>
      </c>
      <c r="C135">
        <v>11</v>
      </c>
      <c r="D135">
        <v>10</v>
      </c>
      <c r="E135">
        <v>11</v>
      </c>
      <c r="F135">
        <v>11</v>
      </c>
      <c r="G135">
        <v>10</v>
      </c>
    </row>
    <row r="136" spans="2:7">
      <c r="B136">
        <v>6</v>
      </c>
      <c r="C136">
        <v>11</v>
      </c>
      <c r="D136">
        <v>11</v>
      </c>
      <c r="E136">
        <v>11</v>
      </c>
      <c r="F136">
        <v>11</v>
      </c>
      <c r="G136">
        <v>10</v>
      </c>
    </row>
    <row r="137" spans="2:7">
      <c r="B137" t="s">
        <v>33</v>
      </c>
      <c r="C137" s="2">
        <f>AVERAGE(C131:C136)</f>
        <v>10.666666666666666</v>
      </c>
      <c r="D137" s="2">
        <f>AVERAGE(D131:D136)</f>
        <v>10.666666666666666</v>
      </c>
      <c r="E137" s="2">
        <f>AVERAGE(E131:E136)</f>
        <v>10.333333333333334</v>
      </c>
      <c r="F137" s="2">
        <f>AVERAGE(F131:F136)</f>
        <v>10.833333333333334</v>
      </c>
      <c r="G137" s="2">
        <f>AVERAGE(G131:G136)</f>
        <v>10</v>
      </c>
    </row>
    <row r="138" spans="2:7">
      <c r="B138" t="s">
        <v>30</v>
      </c>
      <c r="C138" s="1">
        <f>STDEV(C131:C136)</f>
        <v>1.0327955589886482</v>
      </c>
      <c r="D138" s="1">
        <f>STDEV(D131:D136)</f>
        <v>0.8164965809277307</v>
      </c>
      <c r="E138" s="1">
        <f>STDEV(E131:E136)</f>
        <v>0.8164965809277307</v>
      </c>
      <c r="F138" s="1">
        <f>STDEV(F131:F136)</f>
        <v>0.40824829046387229</v>
      </c>
      <c r="G138" s="1">
        <f>STDEV(G131:G136)</f>
        <v>0.63245553203367588</v>
      </c>
    </row>
    <row r="139" spans="2:7">
      <c r="B139" t="s">
        <v>45</v>
      </c>
      <c r="C139" s="1">
        <f t="shared" ref="C139:G139" si="70">CONFIDENCE(0.5,C138,6)</f>
        <v>0.28438984920768368</v>
      </c>
      <c r="D139" s="1">
        <f t="shared" si="70"/>
        <v>0.22482991673202848</v>
      </c>
      <c r="E139" s="1">
        <f t="shared" si="70"/>
        <v>0.22482991673202848</v>
      </c>
      <c r="F139" s="1">
        <f t="shared" si="70"/>
        <v>0.11241495836601616</v>
      </c>
      <c r="G139" s="1">
        <f t="shared" si="70"/>
        <v>0.17415250464646834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7:X19"/>
  <sheetViews>
    <sheetView topLeftCell="A20" workbookViewId="0">
      <selection activeCell="U27" sqref="U27"/>
    </sheetView>
  </sheetViews>
  <sheetFormatPr baseColWidth="10" defaultColWidth="9.140625" defaultRowHeight="15"/>
  <sheetData>
    <row r="7" spans="3:24">
      <c r="C7" s="12" t="s">
        <v>93</v>
      </c>
    </row>
    <row r="8" spans="3:24">
      <c r="G8" s="8" t="s">
        <v>94</v>
      </c>
      <c r="N8" s="8" t="s">
        <v>95</v>
      </c>
      <c r="T8" s="8" t="s">
        <v>96</v>
      </c>
    </row>
    <row r="10" spans="3:24">
      <c r="F10" s="11" t="s">
        <v>79</v>
      </c>
      <c r="G10" s="8" t="s">
        <v>80</v>
      </c>
      <c r="H10" s="8" t="s">
        <v>81</v>
      </c>
      <c r="I10" s="8" t="s">
        <v>82</v>
      </c>
      <c r="J10" s="8" t="s">
        <v>83</v>
      </c>
      <c r="M10" s="11" t="s">
        <v>79</v>
      </c>
      <c r="N10" s="8" t="s">
        <v>80</v>
      </c>
      <c r="O10" s="8" t="s">
        <v>81</v>
      </c>
      <c r="P10" s="8" t="s">
        <v>82</v>
      </c>
      <c r="Q10" s="8" t="s">
        <v>83</v>
      </c>
      <c r="T10" s="11" t="s">
        <v>79</v>
      </c>
      <c r="U10" s="8" t="s">
        <v>80</v>
      </c>
      <c r="V10" s="8" t="s">
        <v>81</v>
      </c>
      <c r="W10" s="8" t="s">
        <v>82</v>
      </c>
      <c r="X10" s="8" t="s">
        <v>83</v>
      </c>
    </row>
    <row r="11" spans="3:24">
      <c r="F11">
        <v>60</v>
      </c>
      <c r="G11">
        <v>66.666666666666657</v>
      </c>
      <c r="H11">
        <v>73.333333333333329</v>
      </c>
      <c r="I11">
        <v>73.333333333333329</v>
      </c>
      <c r="J11">
        <v>73.333333333333329</v>
      </c>
      <c r="M11">
        <f>1423.7/5</f>
        <v>284.74</v>
      </c>
      <c r="N11">
        <f>1586.3/5</f>
        <v>317.26</v>
      </c>
      <c r="O11">
        <f>1617.1/5</f>
        <v>323.41999999999996</v>
      </c>
      <c r="P11">
        <f>1682.8/5</f>
        <v>336.56</v>
      </c>
      <c r="Q11">
        <f>1530.4/5</f>
        <v>306.08000000000004</v>
      </c>
      <c r="T11">
        <f>F11*M11</f>
        <v>17084.400000000001</v>
      </c>
      <c r="U11">
        <f t="shared" ref="U11:X16" si="0">G11*N11</f>
        <v>21150.666666666664</v>
      </c>
      <c r="V11">
        <f t="shared" si="0"/>
        <v>23717.466666666664</v>
      </c>
      <c r="W11">
        <f t="shared" si="0"/>
        <v>24681.066666666666</v>
      </c>
      <c r="X11">
        <f t="shared" si="0"/>
        <v>22445.866666666669</v>
      </c>
    </row>
    <row r="12" spans="3:24">
      <c r="F12">
        <v>66.666666666666657</v>
      </c>
      <c r="G12">
        <v>73.333333333333329</v>
      </c>
      <c r="H12">
        <v>60</v>
      </c>
      <c r="I12">
        <v>73.333333333333329</v>
      </c>
      <c r="J12">
        <v>66.666666666666657</v>
      </c>
      <c r="M12">
        <f>1429.7/5</f>
        <v>285.94</v>
      </c>
      <c r="N12">
        <f>1586.4/5</f>
        <v>317.28000000000003</v>
      </c>
      <c r="O12">
        <f>1506.4/5</f>
        <v>301.28000000000003</v>
      </c>
      <c r="P12">
        <f>1546.3/5</f>
        <v>309.26</v>
      </c>
      <c r="Q12">
        <f>1517.3/5</f>
        <v>303.45999999999998</v>
      </c>
      <c r="T12">
        <f t="shared" ref="T12:T16" si="1">F12*M12</f>
        <v>19062.666666666664</v>
      </c>
      <c r="U12">
        <f t="shared" si="0"/>
        <v>23267.200000000001</v>
      </c>
      <c r="V12">
        <f t="shared" si="0"/>
        <v>18076.800000000003</v>
      </c>
      <c r="W12">
        <f t="shared" si="0"/>
        <v>22679.066666666666</v>
      </c>
      <c r="X12">
        <f t="shared" si="0"/>
        <v>20230.666666666664</v>
      </c>
    </row>
    <row r="13" spans="3:24">
      <c r="F13">
        <v>80</v>
      </c>
      <c r="G13">
        <v>80</v>
      </c>
      <c r="H13">
        <v>66.666666666666657</v>
      </c>
      <c r="I13">
        <v>60</v>
      </c>
      <c r="J13">
        <v>66.666666666666657</v>
      </c>
      <c r="M13">
        <f>1398.1/5</f>
        <v>279.62</v>
      </c>
      <c r="N13">
        <f>1510.4/5</f>
        <v>302.08000000000004</v>
      </c>
      <c r="O13">
        <f>1507.3/5</f>
        <v>301.45999999999998</v>
      </c>
      <c r="P13">
        <f>1343/5</f>
        <v>268.60000000000002</v>
      </c>
      <c r="Q13">
        <f>1483.5/5</f>
        <v>296.7</v>
      </c>
      <c r="T13">
        <f t="shared" si="1"/>
        <v>22369.599999999999</v>
      </c>
      <c r="U13">
        <f t="shared" si="0"/>
        <v>24166.400000000001</v>
      </c>
      <c r="V13">
        <f t="shared" si="0"/>
        <v>20097.333333333328</v>
      </c>
      <c r="W13">
        <f t="shared" si="0"/>
        <v>16116.000000000002</v>
      </c>
      <c r="X13">
        <f t="shared" si="0"/>
        <v>19779.999999999996</v>
      </c>
    </row>
    <row r="14" spans="3:24">
      <c r="F14">
        <v>73.333333333333329</v>
      </c>
      <c r="G14">
        <v>66.666666666666657</v>
      </c>
      <c r="H14">
        <v>66.666666666666657</v>
      </c>
      <c r="I14">
        <v>66.666666666666657</v>
      </c>
      <c r="J14">
        <v>60</v>
      </c>
      <c r="M14">
        <f>1263.8/5</f>
        <v>252.76</v>
      </c>
      <c r="N14">
        <f>1644.1/5</f>
        <v>328.82</v>
      </c>
      <c r="O14">
        <f>1491.5/5</f>
        <v>298.3</v>
      </c>
      <c r="P14">
        <f>1311.5/5</f>
        <v>262.3</v>
      </c>
      <c r="Q14">
        <f>1226.7/5</f>
        <v>245.34</v>
      </c>
      <c r="T14">
        <f t="shared" si="1"/>
        <v>18535.73333333333</v>
      </c>
      <c r="U14">
        <f t="shared" si="0"/>
        <v>21921.333333333328</v>
      </c>
      <c r="V14">
        <f t="shared" si="0"/>
        <v>19886.666666666664</v>
      </c>
      <c r="W14">
        <f t="shared" si="0"/>
        <v>17486.666666666664</v>
      </c>
      <c r="X14">
        <f t="shared" si="0"/>
        <v>14720.4</v>
      </c>
    </row>
    <row r="15" spans="3:24">
      <c r="F15">
        <v>73.333333333333329</v>
      </c>
      <c r="G15">
        <v>66.666666666666657</v>
      </c>
      <c r="H15">
        <v>73.333333333333329</v>
      </c>
      <c r="I15">
        <v>73.333333333333329</v>
      </c>
      <c r="J15">
        <v>66.666666666666657</v>
      </c>
      <c r="M15">
        <f>1379.9/5</f>
        <v>275.98</v>
      </c>
      <c r="N15">
        <f>1552.4/5</f>
        <v>310.48</v>
      </c>
      <c r="O15">
        <f>1445.9/5</f>
        <v>289.18</v>
      </c>
      <c r="P15">
        <f>1149/5</f>
        <v>229.8</v>
      </c>
      <c r="Q15">
        <f>1353.4/5</f>
        <v>270.68</v>
      </c>
      <c r="T15">
        <f t="shared" si="1"/>
        <v>20238.533333333333</v>
      </c>
      <c r="U15">
        <f t="shared" si="0"/>
        <v>20698.666666666664</v>
      </c>
      <c r="V15">
        <f t="shared" si="0"/>
        <v>21206.533333333333</v>
      </c>
      <c r="W15">
        <f t="shared" si="0"/>
        <v>16852</v>
      </c>
      <c r="X15">
        <f t="shared" si="0"/>
        <v>18045.333333333332</v>
      </c>
    </row>
    <row r="16" spans="3:24">
      <c r="F16">
        <v>73.333333333333329</v>
      </c>
      <c r="G16">
        <v>73.333333333333329</v>
      </c>
      <c r="H16">
        <v>73.333333333333329</v>
      </c>
      <c r="I16">
        <v>73.333333333333329</v>
      </c>
      <c r="J16">
        <v>66.666666666666657</v>
      </c>
      <c r="M16">
        <f>1518.8/5</f>
        <v>303.76</v>
      </c>
      <c r="N16" s="4"/>
      <c r="O16">
        <f>1370.4/5</f>
        <v>274.08000000000004</v>
      </c>
      <c r="P16">
        <f>1389.5/5</f>
        <v>277.89999999999998</v>
      </c>
      <c r="Q16">
        <f>1400.7/5</f>
        <v>280.14</v>
      </c>
      <c r="T16">
        <f t="shared" si="1"/>
        <v>22275.73333333333</v>
      </c>
      <c r="V16">
        <f t="shared" si="0"/>
        <v>20099.2</v>
      </c>
      <c r="W16">
        <f t="shared" si="0"/>
        <v>20379.333333333332</v>
      </c>
      <c r="X16">
        <f t="shared" si="0"/>
        <v>18675.999999999996</v>
      </c>
    </row>
    <row r="17" spans="5:24">
      <c r="E17" t="s">
        <v>20</v>
      </c>
      <c r="F17">
        <v>71.1111111111111</v>
      </c>
      <c r="G17">
        <v>71.1111111111111</v>
      </c>
      <c r="H17">
        <v>68.888888888888872</v>
      </c>
      <c r="I17">
        <v>69.999999999999986</v>
      </c>
      <c r="J17">
        <v>66.666666666666643</v>
      </c>
      <c r="L17" t="s">
        <v>20</v>
      </c>
      <c r="M17" s="1">
        <f>AVERAGE(M11:M16)</f>
        <v>280.46666666666664</v>
      </c>
      <c r="N17" s="1">
        <f>AVERAGE(N11:N15)</f>
        <v>315.18400000000003</v>
      </c>
      <c r="O17" s="1">
        <f>AVERAGE(O11:O16)</f>
        <v>297.95333333333338</v>
      </c>
      <c r="P17" s="1">
        <f>AVERAGE(P11:P16)</f>
        <v>280.73666666666668</v>
      </c>
      <c r="Q17" s="1">
        <f>AVERAGE(Q11:Q16)</f>
        <v>283.73333333333335</v>
      </c>
      <c r="S17" t="s">
        <v>20</v>
      </c>
      <c r="T17" s="1">
        <f>AVERAGE(T11:T16)</f>
        <v>19927.777777777777</v>
      </c>
      <c r="U17" s="1">
        <f>AVERAGE(U11:U15)</f>
        <v>22240.853333333333</v>
      </c>
      <c r="V17" s="1">
        <f>AVERAGE(V11:V16)</f>
        <v>20513.999999999996</v>
      </c>
      <c r="W17" s="1">
        <f>AVERAGE(W11:W16)</f>
        <v>19699.022222222218</v>
      </c>
      <c r="X17" s="1">
        <f>AVERAGE(X11:X16)</f>
        <v>18983.04444444444</v>
      </c>
    </row>
    <row r="18" spans="5:24">
      <c r="E18" t="s">
        <v>21</v>
      </c>
      <c r="F18">
        <v>6.8853037265909638</v>
      </c>
      <c r="G18">
        <v>5.4433105395181771</v>
      </c>
      <c r="H18">
        <v>5.4433105395181736</v>
      </c>
      <c r="I18">
        <v>5.5777335102271692</v>
      </c>
      <c r="J18">
        <v>4.2163702135578376</v>
      </c>
      <c r="L18" t="s">
        <v>21</v>
      </c>
      <c r="M18" s="1">
        <f>STDEV(M11:M16)</f>
        <v>16.609060980882703</v>
      </c>
      <c r="N18" s="1">
        <f>STDEV(N11:N15)</f>
        <v>9.8550230847016085</v>
      </c>
      <c r="O18" s="1">
        <f>STDEV(O11:O16)</f>
        <v>16.241564785038836</v>
      </c>
      <c r="P18" s="1">
        <f>STDEV(P11:P16)</f>
        <v>37.468987531913321</v>
      </c>
      <c r="Q18" s="1">
        <f t="shared" ref="Q18" si="2">STDEV(Q11:Q16)</f>
        <v>23.298064011129</v>
      </c>
      <c r="S18" t="s">
        <v>21</v>
      </c>
      <c r="T18" s="1">
        <f>STDEV(T11:T16)</f>
        <v>2113.9045497915927</v>
      </c>
      <c r="U18" s="1">
        <f>STDEV(U11:U15)</f>
        <v>1451.7280357483476</v>
      </c>
      <c r="V18" s="1">
        <f>STDEV(V11:V16)</f>
        <v>1866.599164493781</v>
      </c>
      <c r="W18" s="1">
        <f>STDEV(W11:W16)</f>
        <v>3464.1696213709965</v>
      </c>
      <c r="X18" s="1">
        <f t="shared" ref="X18" si="3">STDEV(X11:X16)</f>
        <v>2581.7262902232105</v>
      </c>
    </row>
    <row r="19" spans="5:24">
      <c r="E19" t="s">
        <v>22</v>
      </c>
      <c r="F19">
        <v>5.5092891760405474</v>
      </c>
      <c r="G19">
        <v>4.3554755212001215</v>
      </c>
      <c r="H19">
        <v>4.3554755212001197</v>
      </c>
      <c r="I19">
        <v>4.4630343228079834</v>
      </c>
      <c r="J19">
        <v>3.373736831684425</v>
      </c>
      <c r="L19" t="s">
        <v>22</v>
      </c>
      <c r="M19" s="1">
        <f>CONFIDENCE(0.5,M18,6)</f>
        <v>4.5734591969584288</v>
      </c>
      <c r="N19" s="1">
        <f>CONFIDENCE(0.5,N18,5)</f>
        <v>2.9726788834073492</v>
      </c>
      <c r="O19" s="1">
        <f t="shared" ref="O19:Q19" si="4">CONFIDENCE(0.5,O18,6)</f>
        <v>4.4722657063291917</v>
      </c>
      <c r="P19" s="1">
        <f t="shared" si="4"/>
        <v>10.317433708371057</v>
      </c>
      <c r="Q19" s="1">
        <f t="shared" si="4"/>
        <v>6.4153383051376611</v>
      </c>
      <c r="S19" t="s">
        <v>22</v>
      </c>
      <c r="T19" s="1">
        <f>CONFIDENCE(0.5,T18,6)</f>
        <v>582.08325057415857</v>
      </c>
      <c r="U19" s="1">
        <f t="shared" ref="U19" si="5">CONFIDENCE(0.5,U18,6)</f>
        <v>399.74679749913332</v>
      </c>
      <c r="V19" s="1">
        <f t="shared" ref="V19" si="6">CONFIDENCE(0.5,V18,6)</f>
        <v>513.98541589527622</v>
      </c>
      <c r="W19" s="1">
        <f t="shared" ref="W19" si="7">CONFIDENCE(0.5,W18,6)</f>
        <v>953.89127855686752</v>
      </c>
      <c r="X19" s="1">
        <f t="shared" ref="X19" si="8">CONFIDENCE(0.5,X18,6)</f>
        <v>710.90231167440697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dinamica de germ</vt:lpstr>
      <vt:lpstr>velocidad de germinacion</vt:lpstr>
      <vt:lpstr>tiempo med y tasade germinacion</vt:lpstr>
      <vt:lpstr>indice de vigor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Yanelis</cp:lastModifiedBy>
  <dcterms:modified xsi:type="dcterms:W3CDTF">2021-09-21T00:10:48Z</dcterms:modified>
</cp:coreProperties>
</file>